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UdDZRH/eNnry/OBij6Y6+VZlz0Yu/F8z8LMfRYrBMYS1tF9CAk41s8C0f7Z5YwGFGGOdlOWfHxz0HulbRzk0Cg==" workbookSaltValue="UepFV7v0ln+f+K6ubWzwS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O31" i="8" s="1"/>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M14" i="21" s="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1" i="13"/>
  <c r="AY12" i="13"/>
  <c r="AY11" i="13"/>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J23" i="8"/>
  <c r="I23" i="8"/>
  <c r="CF14" i="8"/>
  <c r="N14" i="12" s="1"/>
  <c r="CE14" i="8"/>
  <c r="M14" i="12" s="1"/>
  <c r="CD14" i="8"/>
  <c r="CC14" i="8"/>
  <c r="CB14" i="8"/>
  <c r="CA14" i="8"/>
  <c r="BL14" i="8"/>
  <c r="BK14" i="8"/>
  <c r="BJ14" i="8"/>
  <c r="BI14" i="8"/>
  <c r="BH14" i="8"/>
  <c r="AR14" i="8"/>
  <c r="C14" i="3" s="1"/>
  <c r="AQ14" i="8"/>
  <c r="AP14" i="8"/>
  <c r="AO14" i="8"/>
  <c r="B14" i="3" s="1"/>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E22" i="2"/>
  <c r="C17" i="2"/>
  <c r="C18" i="2"/>
  <c r="C19" i="2"/>
  <c r="D19" i="2" s="1"/>
  <c r="C20" i="2"/>
  <c r="D20" i="2" s="1"/>
  <c r="C21" i="2"/>
  <c r="C22" i="2"/>
  <c r="D22" i="2" s="1"/>
  <c r="I9" i="2"/>
  <c r="I10" i="2"/>
  <c r="I11" i="2"/>
  <c r="I12" i="2"/>
  <c r="I13" i="2"/>
  <c r="C10" i="2"/>
  <c r="D10" i="2" s="1"/>
  <c r="C11" i="2"/>
  <c r="C12" i="2"/>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O31" i="13" s="1"/>
  <c r="AP23" i="13"/>
  <c r="AQ23" i="13"/>
  <c r="AR23" i="13"/>
  <c r="BH23" i="13"/>
  <c r="BI23" i="13"/>
  <c r="BK23" i="13"/>
  <c r="BM23" i="13"/>
  <c r="AY26"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M31" i="13" s="1"/>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Z31" i="13" s="1"/>
  <c r="AA30" i="13"/>
  <c r="AB30" i="13"/>
  <c r="AC30" i="13"/>
  <c r="AD30" i="13"/>
  <c r="AE30" i="13"/>
  <c r="AF30" i="13"/>
  <c r="AG30" i="13"/>
  <c r="AH30" i="13"/>
  <c r="AI30" i="13"/>
  <c r="AJ30" i="13"/>
  <c r="AK30" i="13"/>
  <c r="AL30" i="13"/>
  <c r="AM30" i="13"/>
  <c r="AN30" i="13"/>
  <c r="AN31" i="13" s="1"/>
  <c r="AO30" i="13"/>
  <c r="AP30" i="13"/>
  <c r="AQ30" i="13"/>
  <c r="AR30" i="13"/>
  <c r="BH30" i="13"/>
  <c r="BI30" i="13"/>
  <c r="BK30" i="13"/>
  <c r="BM30" i="13"/>
  <c r="AB31" i="13"/>
  <c r="B2" i="8"/>
  <c r="A3" i="8"/>
  <c r="B3" i="8"/>
  <c r="A4" i="8"/>
  <c r="B4" i="8"/>
  <c r="A5" i="8"/>
  <c r="BC9" i="8"/>
  <c r="AY10" i="8"/>
  <c r="AZ10" i="8"/>
  <c r="BA10" i="8"/>
  <c r="BB10" i="8"/>
  <c r="BC10" i="8"/>
  <c r="BC11" i="8"/>
  <c r="BF11" i="8" s="1"/>
  <c r="BC12" i="8"/>
  <c r="AY13" i="8"/>
  <c r="AZ13" i="8"/>
  <c r="BA13" i="8"/>
  <c r="BB13" i="8"/>
  <c r="BC13" i="8"/>
  <c r="BC16" i="8"/>
  <c r="BC17" i="8"/>
  <c r="AY18" i="8"/>
  <c r="AZ18" i="8"/>
  <c r="BA18" i="8"/>
  <c r="BB18" i="8"/>
  <c r="BC18" i="8"/>
  <c r="AY19" i="8"/>
  <c r="AZ19" i="8"/>
  <c r="BA19" i="8"/>
  <c r="BB19" i="8"/>
  <c r="BC19" i="8"/>
  <c r="AY20" i="8"/>
  <c r="AZ20" i="8"/>
  <c r="BA20" i="8"/>
  <c r="BB20" i="8"/>
  <c r="BC20" i="8"/>
  <c r="AY21" i="8"/>
  <c r="AZ21" i="8"/>
  <c r="BA21" i="8"/>
  <c r="BB21" i="8"/>
  <c r="BC21" i="8"/>
  <c r="BF21" i="8" s="1"/>
  <c r="AY22" i="8"/>
  <c r="AZ22" i="8"/>
  <c r="BA22" i="8"/>
  <c r="BB22" i="8"/>
  <c r="BC22" i="8"/>
  <c r="AY25" i="8"/>
  <c r="AZ25" i="8"/>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AI26" i="8"/>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F11" i="12" s="1"/>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AI26"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G10" i="3" s="1"/>
  <c r="H10" i="3"/>
  <c r="I10" i="3" s="1"/>
  <c r="A11" i="3"/>
  <c r="C11" i="3"/>
  <c r="D11" i="3"/>
  <c r="F11" i="3"/>
  <c r="G11" i="3" s="1"/>
  <c r="H11" i="3"/>
  <c r="A12" i="3"/>
  <c r="C12" i="3"/>
  <c r="D12" i="3"/>
  <c r="F12" i="3"/>
  <c r="G12" i="3" s="1"/>
  <c r="H12" i="3"/>
  <c r="A13" i="3"/>
  <c r="C13" i="3"/>
  <c r="D13" i="3"/>
  <c r="F13" i="3"/>
  <c r="H13" i="3"/>
  <c r="A14" i="3"/>
  <c r="A15" i="3"/>
  <c r="A16" i="3"/>
  <c r="C16" i="3"/>
  <c r="D16" i="3"/>
  <c r="E16" i="3" s="1"/>
  <c r="F16" i="3"/>
  <c r="H16" i="3"/>
  <c r="A17" i="3"/>
  <c r="C17" i="3"/>
  <c r="D17" i="3"/>
  <c r="F17" i="3"/>
  <c r="H17" i="3"/>
  <c r="I17" i="3" s="1"/>
  <c r="A18" i="3"/>
  <c r="C18" i="3"/>
  <c r="D18" i="3"/>
  <c r="F18" i="3"/>
  <c r="G18" i="3" s="1"/>
  <c r="H18" i="3"/>
  <c r="I18" i="3" s="1"/>
  <c r="A19" i="3"/>
  <c r="C19" i="3"/>
  <c r="D19" i="3"/>
  <c r="F19" i="3"/>
  <c r="H19" i="3"/>
  <c r="I19" i="3" s="1"/>
  <c r="A20" i="3"/>
  <c r="C20" i="3"/>
  <c r="D20" i="3"/>
  <c r="F20" i="3"/>
  <c r="G20" i="3" s="1"/>
  <c r="H20" i="3"/>
  <c r="A21" i="3"/>
  <c r="C21" i="3"/>
  <c r="D21" i="3"/>
  <c r="E21" i="3" s="1"/>
  <c r="F21" i="3"/>
  <c r="G21" i="3" s="1"/>
  <c r="H21" i="3"/>
  <c r="A22" i="3"/>
  <c r="C22" i="3"/>
  <c r="D22" i="3"/>
  <c r="AN22" i="11" s="1"/>
  <c r="F22" i="3"/>
  <c r="G22" i="3" s="1"/>
  <c r="H22" i="3"/>
  <c r="I22" i="3" s="1"/>
  <c r="A24" i="3"/>
  <c r="A25" i="3"/>
  <c r="C25" i="3"/>
  <c r="D25" i="3"/>
  <c r="E25" i="3" s="1"/>
  <c r="F25" i="3"/>
  <c r="G25" i="3" s="1"/>
  <c r="H25" i="3"/>
  <c r="I25" i="3" s="1"/>
  <c r="A26" i="3"/>
  <c r="A27" i="3"/>
  <c r="A28" i="3"/>
  <c r="C28" i="3"/>
  <c r="D28" i="3"/>
  <c r="F28" i="3"/>
  <c r="G28" i="3" s="1"/>
  <c r="H28" i="3"/>
  <c r="I28" i="3" s="1"/>
  <c r="A29" i="3"/>
  <c r="C29" i="3"/>
  <c r="D29" i="3"/>
  <c r="E29" i="3" s="1"/>
  <c r="F29" i="3"/>
  <c r="G29" i="3" s="1"/>
  <c r="H29" i="3"/>
  <c r="I29" i="3" s="1"/>
  <c r="A30" i="3"/>
  <c r="A31" i="3"/>
  <c r="A34"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H17" i="10"/>
  <c r="A18" i="10"/>
  <c r="B18" i="10"/>
  <c r="C18" i="10"/>
  <c r="D18" i="10"/>
  <c r="E18" i="10"/>
  <c r="F18" i="10" s="1"/>
  <c r="H18" i="10"/>
  <c r="A19" i="10"/>
  <c r="B19" i="10"/>
  <c r="C19" i="10"/>
  <c r="D19" i="10"/>
  <c r="I19" i="10" s="1"/>
  <c r="K19" i="10" s="1"/>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H9" i="2" s="1"/>
  <c r="A10" i="2"/>
  <c r="B10" i="2"/>
  <c r="A11" i="2"/>
  <c r="B11" i="2"/>
  <c r="H11" i="2" s="1"/>
  <c r="A12" i="2"/>
  <c r="B12" i="2"/>
  <c r="A13" i="2"/>
  <c r="B13" i="2"/>
  <c r="A14" i="2"/>
  <c r="B14" i="2"/>
  <c r="A15" i="2"/>
  <c r="A16" i="2"/>
  <c r="B16" i="2"/>
  <c r="J16" i="2" s="1"/>
  <c r="A17" i="2"/>
  <c r="B17" i="2"/>
  <c r="A18" i="2"/>
  <c r="B18" i="2"/>
  <c r="F18" i="2" s="1"/>
  <c r="A19" i="2"/>
  <c r="B19" i="2"/>
  <c r="J19" i="2" s="1"/>
  <c r="A20" i="2"/>
  <c r="B20" i="2"/>
  <c r="A21" i="2"/>
  <c r="A22" i="2"/>
  <c r="B22" i="2"/>
  <c r="A23" i="2"/>
  <c r="A24" i="2"/>
  <c r="A25" i="2"/>
  <c r="B25" i="2"/>
  <c r="C25" i="2"/>
  <c r="E25" i="2"/>
  <c r="G25" i="2"/>
  <c r="I25" i="2"/>
  <c r="A26" i="2"/>
  <c r="A27" i="2"/>
  <c r="A28" i="2"/>
  <c r="C28" i="2"/>
  <c r="D28" i="2" s="1"/>
  <c r="E28" i="2"/>
  <c r="F28" i="2" s="1"/>
  <c r="G28" i="2"/>
  <c r="H28" i="2" s="1"/>
  <c r="I28" i="2"/>
  <c r="A29" i="2"/>
  <c r="B29" i="2"/>
  <c r="C29" i="2"/>
  <c r="D29" i="2" s="1"/>
  <c r="E29" i="2"/>
  <c r="G29" i="2"/>
  <c r="I29" i="2"/>
  <c r="A30" i="2"/>
  <c r="A31" i="2"/>
  <c r="A32" i="2"/>
  <c r="A33" i="2"/>
  <c r="A35" i="2"/>
  <c r="O37" i="11"/>
  <c r="O38" i="11"/>
  <c r="BE29" i="8"/>
  <c r="BF19" i="8"/>
  <c r="S14" i="12"/>
  <c r="BG19" i="8"/>
  <c r="K19" i="7" s="1"/>
  <c r="C26" i="3"/>
  <c r="AL31" i="8"/>
  <c r="R26" i="12"/>
  <c r="BD22" i="8"/>
  <c r="H22" i="7" s="1"/>
  <c r="H13" i="10"/>
  <c r="P13" i="14"/>
  <c r="S26" i="12"/>
  <c r="BG29" i="8"/>
  <c r="BD28" i="8"/>
  <c r="BF17" i="8"/>
  <c r="H23" i="12"/>
  <c r="D26" i="7"/>
  <c r="E26" i="12"/>
  <c r="B23" i="7"/>
  <c r="BE28" i="13"/>
  <c r="BD9" i="13"/>
  <c r="BG21" i="13"/>
  <c r="BD28" i="13"/>
  <c r="AN23" i="17"/>
  <c r="B23" i="2"/>
  <c r="BG11" i="13"/>
  <c r="BF13" i="13"/>
  <c r="BE10" i="8"/>
  <c r="BE16" i="8"/>
  <c r="AS14" i="8"/>
  <c r="I13" i="14"/>
  <c r="AD26" i="20"/>
  <c r="AA30" i="20"/>
  <c r="AY30" i="19"/>
  <c r="BC30" i="19"/>
  <c r="AZ30" i="19"/>
  <c r="AZ14" i="19"/>
  <c r="AY26" i="19"/>
  <c r="BC26" i="19"/>
  <c r="BB14" i="19"/>
  <c r="BA23" i="19"/>
  <c r="BD23" i="19" s="1"/>
  <c r="BB30" i="19"/>
  <c r="AY14" i="19"/>
  <c r="BC14" i="19"/>
  <c r="AY23" i="19"/>
  <c r="BC23" i="19"/>
  <c r="U31" i="19"/>
  <c r="Y31" i="19"/>
  <c r="AO31" i="19"/>
  <c r="BA26" i="19"/>
  <c r="BD26" i="19" s="1"/>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V23" i="21"/>
  <c r="T23" i="21"/>
  <c r="AU23" i="20"/>
  <c r="AU31" i="20" s="1"/>
  <c r="BE18" i="13"/>
  <c r="BG20" i="13"/>
  <c r="BE12" i="13"/>
  <c r="BD20" i="13"/>
  <c r="BG19" i="13"/>
  <c r="AY30" i="13"/>
  <c r="BG10" i="13"/>
  <c r="BB30" i="13"/>
  <c r="BE25" i="13"/>
  <c r="BE19" i="13"/>
  <c r="BE22" i="8"/>
  <c r="I22" i="7" s="1"/>
  <c r="BE11" i="8"/>
  <c r="BE12" i="8"/>
  <c r="BD17" i="13"/>
  <c r="F26" i="12"/>
  <c r="G26" i="7"/>
  <c r="C31" i="3"/>
  <c r="BD29" i="8"/>
  <c r="BF29" i="8"/>
  <c r="O31" i="8"/>
  <c r="BD12" i="13"/>
  <c r="BG12" i="13"/>
  <c r="BC30" i="8"/>
  <c r="U31" i="8"/>
  <c r="BE13" i="8"/>
  <c r="AV30" i="21"/>
  <c r="AR30" i="21" s="1"/>
  <c r="BM30" i="16"/>
  <c r="AZ14" i="13"/>
  <c r="BD22" i="13"/>
  <c r="BG22" i="13"/>
  <c r="AW30" i="21"/>
  <c r="AP26" i="17"/>
  <c r="BG14" i="16"/>
  <c r="D14" i="7"/>
  <c r="X31" i="8"/>
  <c r="AM31" i="8"/>
  <c r="AW23" i="21"/>
  <c r="BC30" i="13"/>
  <c r="BD29" i="13"/>
  <c r="BE29" i="13"/>
  <c r="BE22" i="13"/>
  <c r="AP14" i="17"/>
  <c r="AV23" i="21"/>
  <c r="BE21" i="13"/>
  <c r="AR14" i="21"/>
  <c r="BJ14" i="16"/>
  <c r="AT26" i="20"/>
  <c r="AI14" i="20"/>
  <c r="BF13" i="8"/>
  <c r="R14" i="12"/>
  <c r="AH31" i="8"/>
  <c r="BA26" i="13"/>
  <c r="AT30" i="20"/>
  <c r="P31" i="19"/>
  <c r="R13" i="17"/>
  <c r="BE11" i="13"/>
  <c r="BD21" i="8"/>
  <c r="H21" i="7" s="1"/>
  <c r="BG18" i="8"/>
  <c r="AZ26" i="13"/>
  <c r="BA30" i="13"/>
  <c r="BF28" i="13"/>
  <c r="BD11" i="13"/>
  <c r="BD18" i="8"/>
  <c r="BM23" i="16"/>
  <c r="AZ30" i="13"/>
  <c r="AO14" i="20"/>
  <c r="AY14" i="13"/>
  <c r="BC23" i="13"/>
  <c r="BG25" i="13"/>
  <c r="BE19" i="8"/>
  <c r="I19" i="7" s="1"/>
  <c r="BF18" i="8"/>
  <c r="BF12" i="8"/>
  <c r="BC14" i="13"/>
  <c r="AR30" i="11"/>
  <c r="AG31" i="8"/>
  <c r="B14" i="7"/>
  <c r="AB31" i="19"/>
  <c r="AS26" i="21"/>
  <c r="BG29" i="13"/>
  <c r="AQ31" i="19"/>
  <c r="C26" i="7"/>
  <c r="AQ31" i="13"/>
  <c r="BD17" i="8"/>
  <c r="H17" i="7" s="1"/>
  <c r="BD13" i="13"/>
  <c r="BF9" i="13"/>
  <c r="BE9" i="13"/>
  <c r="AT23" i="20"/>
  <c r="Q31" i="8"/>
  <c r="H26" i="12"/>
  <c r="E23" i="12"/>
  <c r="D23" i="7"/>
  <c r="F23" i="12"/>
  <c r="D23" i="12"/>
  <c r="ER31" i="8"/>
  <c r="N19" i="11"/>
  <c r="AE14" i="21"/>
  <c r="AB14" i="21"/>
  <c r="AL16" i="11"/>
  <c r="L16" i="14"/>
  <c r="AP9" i="11"/>
  <c r="D16" i="6"/>
  <c r="Y22" i="11"/>
  <c r="Y18" i="11"/>
  <c r="L30" i="11"/>
  <c r="AC25" i="11"/>
  <c r="AG26" i="17"/>
  <c r="EL31" i="8"/>
  <c r="O14" i="21"/>
  <c r="BD12" i="21"/>
  <c r="BD14" i="21" s="1"/>
  <c r="BD31" i="21" s="1"/>
  <c r="K14" i="11"/>
  <c r="AC11" i="11"/>
  <c r="EQ31" i="8"/>
  <c r="AA30" i="11"/>
  <c r="M26" i="11"/>
  <c r="I13" i="3"/>
  <c r="E11" i="12"/>
  <c r="AP12" i="11"/>
  <c r="J30" i="11"/>
  <c r="AC28" i="11"/>
  <c r="E9" i="12"/>
  <c r="EN31" i="8"/>
  <c r="F12" i="21"/>
  <c r="J12" i="2"/>
  <c r="AN14" i="21"/>
  <c r="F21" i="2"/>
  <c r="N12" i="11"/>
  <c r="D12" i="2"/>
  <c r="C9" i="6"/>
  <c r="B22" i="6"/>
  <c r="AL22" i="11"/>
  <c r="L22" i="14"/>
  <c r="C22" i="6"/>
  <c r="B9" i="6"/>
  <c r="AO22" i="11"/>
  <c r="I11" i="10"/>
  <c r="K11" i="10" s="1"/>
  <c r="I9" i="10"/>
  <c r="K9" i="10" s="1"/>
  <c r="G19" i="3"/>
  <c r="G14" i="11"/>
  <c r="D14" i="12" s="1"/>
  <c r="AO13" i="11"/>
  <c r="L14" i="11"/>
  <c r="AA26" i="11"/>
  <c r="AC17" i="11"/>
  <c r="I14" i="11"/>
  <c r="K23" i="11"/>
  <c r="E19" i="6"/>
  <c r="K19" i="12" s="1"/>
  <c r="G13" i="3"/>
  <c r="E22" i="6"/>
  <c r="M30" i="11"/>
  <c r="G16" i="3"/>
  <c r="AN9" i="11"/>
  <c r="D9" i="6"/>
  <c r="I20" i="3"/>
  <c r="I16" i="3"/>
  <c r="AI14" i="11"/>
  <c r="G12" i="12"/>
  <c r="D12" i="12"/>
  <c r="C16" i="14"/>
  <c r="K16" i="14" s="1"/>
  <c r="S14" i="11"/>
  <c r="AV14" i="11"/>
  <c r="AW33" i="11"/>
  <c r="R14" i="11"/>
  <c r="R23" i="11"/>
  <c r="R30" i="11"/>
  <c r="Y11" i="11"/>
  <c r="C12" i="14"/>
  <c r="K12" i="14" s="1"/>
  <c r="AC19" i="11"/>
  <c r="BB26" i="16"/>
  <c r="X23" i="11"/>
  <c r="X30" i="11"/>
  <c r="Z26" i="11"/>
  <c r="AC13" i="11"/>
  <c r="AB26" i="11"/>
  <c r="AD26" i="11"/>
  <c r="AF26" i="11"/>
  <c r="AF23" i="11"/>
  <c r="H26" i="11"/>
  <c r="J14" i="11"/>
  <c r="J23" i="11"/>
  <c r="I23" i="11"/>
  <c r="I26" i="11"/>
  <c r="I30" i="11"/>
  <c r="AT23" i="17"/>
  <c r="AT31" i="17" s="1"/>
  <c r="D22" i="6"/>
  <c r="E22" i="3"/>
  <c r="B13" i="6"/>
  <c r="L13" i="14"/>
  <c r="I13" i="7"/>
  <c r="E21" i="6"/>
  <c r="AO21" i="11"/>
  <c r="D21" i="2"/>
  <c r="B21" i="6"/>
  <c r="AN21" i="11"/>
  <c r="W30" i="11"/>
  <c r="M14" i="11"/>
  <c r="AR19" i="11"/>
  <c r="M23" i="11"/>
  <c r="BA14" i="16"/>
  <c r="AR22" i="17"/>
  <c r="I11" i="3"/>
  <c r="H26" i="3"/>
  <c r="I26" i="3" s="1"/>
  <c r="D10" i="6"/>
  <c r="E18" i="3"/>
  <c r="L10" i="14"/>
  <c r="C10" i="6"/>
  <c r="J10" i="2"/>
  <c r="AL17" i="11"/>
  <c r="B17" i="6"/>
  <c r="BI17" i="16"/>
  <c r="L17" i="14"/>
  <c r="C17" i="6"/>
  <c r="AP22" i="11"/>
  <c r="AP13" i="11"/>
  <c r="AP10" i="11"/>
  <c r="H30" i="11"/>
  <c r="N29" i="11"/>
  <c r="BI21" i="16"/>
  <c r="H23" i="3"/>
  <c r="I23" i="3" s="1"/>
  <c r="D26" i="3"/>
  <c r="E26" i="3" s="1"/>
  <c r="X14" i="11"/>
  <c r="L21" i="14"/>
  <c r="AL10" i="11"/>
  <c r="AT14" i="11"/>
  <c r="N10" i="11"/>
  <c r="D21" i="6"/>
  <c r="J13" i="7"/>
  <c r="AL21" i="11"/>
  <c r="E13" i="3"/>
  <c r="C21" i="6"/>
  <c r="E17" i="3"/>
  <c r="AN17" i="11"/>
  <c r="E12" i="3"/>
  <c r="Y20" i="11"/>
  <c r="AU14" i="11"/>
  <c r="AC18" i="11"/>
  <c r="D17" i="6"/>
  <c r="AA30" i="17"/>
  <c r="H23" i="11"/>
  <c r="I21" i="3"/>
  <c r="AC21" i="11"/>
  <c r="L23" i="11"/>
  <c r="AT23" i="11"/>
  <c r="AT26" i="11" s="1"/>
  <c r="AT30" i="11" s="1"/>
  <c r="AI23" i="11"/>
  <c r="AF14" i="21"/>
  <c r="AX14" i="21"/>
  <c r="AZ33" i="21"/>
  <c r="E14" i="11"/>
  <c r="AL19" i="11"/>
  <c r="Y19" i="11"/>
  <c r="Y29" i="11"/>
  <c r="N13" i="11"/>
  <c r="N9" i="11"/>
  <c r="AC16" i="11"/>
  <c r="H14" i="11"/>
  <c r="F25" i="2"/>
  <c r="F17" i="10"/>
  <c r="L9" i="14"/>
  <c r="J9" i="2"/>
  <c r="BI16" i="16"/>
  <c r="AN16" i="11"/>
  <c r="B16" i="6"/>
  <c r="Y12" i="11"/>
  <c r="E14" i="21"/>
  <c r="T10" i="21"/>
  <c r="AL14" i="21"/>
  <c r="E23" i="2"/>
  <c r="AO16" i="11"/>
  <c r="H30" i="3"/>
  <c r="BI18" i="16"/>
  <c r="G17" i="3"/>
  <c r="B25" i="6"/>
  <c r="AO17" i="11"/>
  <c r="D17" i="2"/>
  <c r="E16" i="6"/>
  <c r="I16" i="7"/>
  <c r="C16" i="6"/>
  <c r="I16" i="12" s="1"/>
  <c r="Y25" i="11"/>
  <c r="W26" i="11"/>
  <c r="B29" i="6"/>
  <c r="K29" i="7"/>
  <c r="F10" i="10"/>
  <c r="E28" i="3"/>
  <c r="D26" i="14"/>
  <c r="D11" i="2"/>
  <c r="B19" i="6"/>
  <c r="AO10" i="11"/>
  <c r="B10" i="6"/>
  <c r="AL28" i="11"/>
  <c r="AL13" i="11"/>
  <c r="E13" i="6"/>
  <c r="I10" i="7"/>
  <c r="H10" i="2"/>
  <c r="C13" i="6"/>
  <c r="AO19" i="11"/>
  <c r="F19" i="2"/>
  <c r="D19" i="6"/>
  <c r="J19" i="12" s="1"/>
  <c r="J19" i="7"/>
  <c r="H19" i="2"/>
  <c r="AN19" i="11"/>
  <c r="C19" i="6"/>
  <c r="I19" i="12" s="1"/>
  <c r="Y9" i="11"/>
  <c r="W14" i="11"/>
  <c r="F9" i="12"/>
  <c r="F12" i="2"/>
  <c r="AN10" i="11"/>
  <c r="J22" i="2"/>
  <c r="AL29" i="11"/>
  <c r="C25" i="6"/>
  <c r="F10" i="2"/>
  <c r="AH26" i="11"/>
  <c r="N11" i="11"/>
  <c r="AN13" i="11"/>
  <c r="G9" i="12"/>
  <c r="E10" i="6"/>
  <c r="N21" i="11"/>
  <c r="AC12" i="11"/>
  <c r="E19" i="3"/>
  <c r="I12" i="3"/>
  <c r="E12" i="12"/>
  <c r="E17" i="6"/>
  <c r="Y21" i="11"/>
  <c r="Y17" i="11"/>
  <c r="AP25" i="11"/>
  <c r="J26" i="11"/>
  <c r="AP21" i="11"/>
  <c r="R26" i="11"/>
  <c r="X26" i="11"/>
  <c r="N20" i="11"/>
  <c r="E20" i="3"/>
  <c r="Y13" i="11"/>
  <c r="L26" i="11"/>
  <c r="AC26" i="11"/>
  <c r="E26" i="14"/>
  <c r="AH30" i="11"/>
  <c r="M26" i="2"/>
  <c r="I10" i="10"/>
  <c r="K10" i="10" s="1"/>
  <c r="I18" i="10"/>
  <c r="K18" i="10" s="1"/>
  <c r="ES31" i="8"/>
  <c r="AX14" i="11"/>
  <c r="AA23" i="11"/>
  <c r="L31" i="8"/>
  <c r="G23" i="12"/>
  <c r="C23" i="7"/>
  <c r="BG23" i="16"/>
  <c r="C26" i="2"/>
  <c r="D26" i="2" s="1"/>
  <c r="J25" i="2"/>
  <c r="L25" i="14"/>
  <c r="BG26" i="16"/>
  <c r="AN26" i="17"/>
  <c r="AC31" i="8"/>
  <c r="W31" i="8"/>
  <c r="W31" i="13"/>
  <c r="S31" i="13"/>
  <c r="BF20" i="8"/>
  <c r="AQ10" i="11"/>
  <c r="X31" i="13"/>
  <c r="AQ29" i="11"/>
  <c r="BG9" i="13"/>
  <c r="BA14" i="13"/>
  <c r="V31" i="13"/>
  <c r="W23" i="11"/>
  <c r="AQ13" i="11"/>
  <c r="AG31" i="19"/>
  <c r="AO23" i="20"/>
  <c r="BH31" i="13"/>
  <c r="AC31" i="13"/>
  <c r="Y31" i="13"/>
  <c r="Q31" i="13"/>
  <c r="F9" i="11"/>
  <c r="AQ19" i="11"/>
  <c r="AQ22" i="11"/>
  <c r="N25" i="11"/>
  <c r="F18" i="11"/>
  <c r="AQ18" i="11" s="1"/>
  <c r="F12" i="11"/>
  <c r="AQ12" i="11" s="1"/>
  <c r="AS31" i="8"/>
  <c r="R8" i="9"/>
  <c r="X12" i="21" s="1"/>
  <c r="BM31" i="8"/>
  <c r="BD21" i="13"/>
  <c r="Y31" i="8"/>
  <c r="AK31" i="8"/>
  <c r="CI31" i="8"/>
  <c r="R31" i="8"/>
  <c r="Z31" i="8"/>
  <c r="BK31" i="8"/>
  <c r="F16" i="11"/>
  <c r="AQ16" i="11" s="1"/>
  <c r="AA31" i="8"/>
  <c r="AE31" i="8"/>
  <c r="AI31" i="8"/>
  <c r="F18" i="16"/>
  <c r="EP31" i="8"/>
  <c r="AX23" i="11"/>
  <c r="AX26" i="11" s="1"/>
  <c r="ER31" i="13"/>
  <c r="AL14" i="16"/>
  <c r="AJ14" i="16"/>
  <c r="AJ31" i="16" s="1"/>
  <c r="EP31" i="19"/>
  <c r="T9" i="11"/>
  <c r="BH9" i="16"/>
  <c r="BK19" i="11"/>
  <c r="BH21" i="16"/>
  <c r="V16" i="11"/>
  <c r="S20" i="14"/>
  <c r="V20" i="14" s="1"/>
  <c r="BI22" i="11"/>
  <c r="BK9" i="11"/>
  <c r="BE13" i="11"/>
  <c r="BJ13" i="11"/>
  <c r="BI18" i="11"/>
  <c r="BH18" i="16"/>
  <c r="BF25" i="11"/>
  <c r="BG16" i="11"/>
  <c r="BF10" i="11"/>
  <c r="BE19" i="11"/>
  <c r="BH16" i="16"/>
  <c r="BH19" i="16"/>
  <c r="BL17" i="11"/>
  <c r="BI19" i="11"/>
  <c r="Q18" i="20"/>
  <c r="Q23" i="20" s="1"/>
  <c r="P18" i="17"/>
  <c r="V11" i="16"/>
  <c r="AP30" i="21"/>
  <c r="AO30" i="17"/>
  <c r="BK18" i="11"/>
  <c r="BE28" i="11"/>
  <c r="BL29" i="11"/>
  <c r="BE21" i="11"/>
  <c r="AO9" i="17"/>
  <c r="BH28" i="11"/>
  <c r="BE18" i="11"/>
  <c r="BE29" i="11"/>
  <c r="V25" i="11"/>
  <c r="BJ12" i="11"/>
  <c r="AM22" i="11"/>
  <c r="AO13" i="17"/>
  <c r="BF20" i="11"/>
  <c r="BG19" i="11"/>
  <c r="BE17" i="11"/>
  <c r="BE25" i="11"/>
  <c r="BF22" i="11"/>
  <c r="BJ19" i="11"/>
  <c r="AP30" i="20"/>
  <c r="AO16" i="17"/>
  <c r="AM13" i="11"/>
  <c r="BE10" i="11"/>
  <c r="S18" i="16"/>
  <c r="BJ29" i="11"/>
  <c r="BJ9" i="11"/>
  <c r="AM21" i="11"/>
  <c r="AM17" i="11"/>
  <c r="BK12" i="11"/>
  <c r="AO21" i="17"/>
  <c r="X17" i="17"/>
  <c r="AY29" i="11"/>
  <c r="AQ26" i="21"/>
  <c r="R12" i="14"/>
  <c r="AY19" i="11"/>
  <c r="AM25" i="11"/>
  <c r="AF14" i="11"/>
  <c r="AS14" i="16"/>
  <c r="BM16" i="16"/>
  <c r="F17" i="16"/>
  <c r="BL17" i="16" s="1"/>
  <c r="S14" i="16"/>
  <c r="BL29" i="16"/>
  <c r="V12" i="21"/>
  <c r="BF26" i="16"/>
  <c r="AC23" i="16"/>
  <c r="H23" i="16"/>
  <c r="H31" i="16" s="1"/>
  <c r="I26" i="16"/>
  <c r="AY26" i="16"/>
  <c r="I14" i="16"/>
  <c r="BN23" i="16"/>
  <c r="BN31" i="16" s="1"/>
  <c r="BM29" i="16"/>
  <c r="AG14" i="16"/>
  <c r="P14" i="16"/>
  <c r="F13" i="16"/>
  <c r="BL13" i="16" s="1"/>
  <c r="U30" i="16"/>
  <c r="AM14" i="20"/>
  <c r="AD14" i="20"/>
  <c r="W14" i="20"/>
  <c r="X14" i="20" s="1"/>
  <c r="N30" i="16"/>
  <c r="BC33" i="21"/>
  <c r="G14" i="21"/>
  <c r="H14" i="21"/>
  <c r="AN14" i="20"/>
  <c r="AT18" i="20"/>
  <c r="X11" i="17"/>
  <c r="O23" i="17"/>
  <c r="O31" i="17" s="1"/>
  <c r="Y14" i="17"/>
  <c r="AC26" i="16"/>
  <c r="AV14" i="16"/>
  <c r="AO26" i="16"/>
  <c r="X19" i="20"/>
  <c r="J23" i="20"/>
  <c r="AE23" i="20"/>
  <c r="AS21" i="20"/>
  <c r="AQ13" i="17"/>
  <c r="J14" i="17"/>
  <c r="AL14" i="17"/>
  <c r="AU14" i="17"/>
  <c r="Z14" i="17"/>
  <c r="T14" i="17"/>
  <c r="AQ21" i="17"/>
  <c r="G14" i="17"/>
  <c r="K14" i="17"/>
  <c r="R30" i="17"/>
  <c r="F18" i="17"/>
  <c r="AQ18" i="17" s="1"/>
  <c r="Y23" i="17"/>
  <c r="V18" i="16"/>
  <c r="E26" i="2"/>
  <c r="F26" i="2" s="1"/>
  <c r="AL9" i="11"/>
  <c r="AO18" i="11"/>
  <c r="AL18" i="11"/>
  <c r="C23" i="2"/>
  <c r="D23" i="2" s="1"/>
  <c r="K26" i="2"/>
  <c r="AN11" i="11"/>
  <c r="H18" i="7"/>
  <c r="K23" i="2"/>
  <c r="AM11" i="11"/>
  <c r="C11" i="6"/>
  <c r="I11" i="12" s="1"/>
  <c r="AN18" i="11"/>
  <c r="J21" i="2"/>
  <c r="J11" i="7"/>
  <c r="F9" i="2"/>
  <c r="B11" i="6"/>
  <c r="N26" i="2"/>
  <c r="L11" i="14"/>
  <c r="H18" i="2"/>
  <c r="H16" i="2"/>
  <c r="M14" i="2"/>
  <c r="M23" i="2"/>
  <c r="N14" i="2"/>
  <c r="AO18" i="17"/>
  <c r="K18" i="7"/>
  <c r="C18" i="6"/>
  <c r="AL11" i="11"/>
  <c r="L18" i="14"/>
  <c r="B18" i="6"/>
  <c r="J29" i="2"/>
  <c r="AO11" i="11"/>
  <c r="I11" i="7"/>
  <c r="D18" i="2"/>
  <c r="AO9" i="11"/>
  <c r="L20" i="14"/>
  <c r="G26" i="2"/>
  <c r="D18" i="6"/>
  <c r="J18" i="12" s="1"/>
  <c r="AO12" i="11"/>
  <c r="N23" i="2"/>
  <c r="K30" i="2"/>
  <c r="J20" i="2"/>
  <c r="H12" i="2"/>
  <c r="G14" i="2"/>
  <c r="F16" i="2"/>
  <c r="C30" i="2"/>
  <c r="D30" i="2" s="1"/>
  <c r="L12" i="14"/>
  <c r="H29" i="2"/>
  <c r="H20" i="2"/>
  <c r="AM20" i="11"/>
  <c r="E20" i="6"/>
  <c r="B20" i="6"/>
  <c r="I14" i="2"/>
  <c r="J14" i="2" s="1"/>
  <c r="AN12" i="11"/>
  <c r="F20" i="2"/>
  <c r="AL12" i="11"/>
  <c r="I12" i="7"/>
  <c r="E14" i="2"/>
  <c r="F14" i="2" s="1"/>
  <c r="F29" i="2"/>
  <c r="C20" i="6"/>
  <c r="F13" i="2"/>
  <c r="J13" i="2"/>
  <c r="AM12" i="11"/>
  <c r="J20" i="7"/>
  <c r="C14" i="2"/>
  <c r="D14" i="2" s="1"/>
  <c r="D12" i="6"/>
  <c r="J12" i="12" s="1"/>
  <c r="C12" i="6"/>
  <c r="I12" i="12" s="1"/>
  <c r="B12" i="6"/>
  <c r="E12" i="6"/>
  <c r="E28" i="6"/>
  <c r="D20" i="6"/>
  <c r="J20" i="12" s="1"/>
  <c r="AO12" i="17"/>
  <c r="G23" i="2"/>
  <c r="AL23" i="11" s="1"/>
  <c r="E11" i="6"/>
  <c r="AO28" i="11"/>
  <c r="I23" i="2"/>
  <c r="J23" i="2" s="1"/>
  <c r="J12" i="7"/>
  <c r="F30" i="17"/>
  <c r="F26" i="17"/>
  <c r="AN20" i="11"/>
  <c r="AL20" i="11"/>
  <c r="Z14" i="11"/>
  <c r="AC10" i="11"/>
  <c r="AB14" i="11"/>
  <c r="AB23" i="11"/>
  <c r="AC22" i="11"/>
  <c r="AC29" i="11"/>
  <c r="AC30" i="11" s="1"/>
  <c r="AB30" i="11"/>
  <c r="AD14" i="11"/>
  <c r="H14" i="12"/>
  <c r="M31" i="8"/>
  <c r="F14" i="7"/>
  <c r="C14" i="7"/>
  <c r="T31" i="8"/>
  <c r="E14" i="7"/>
  <c r="AB31" i="8"/>
  <c r="AJ31" i="8"/>
  <c r="T14" i="12"/>
  <c r="BJ21" i="11"/>
  <c r="BJ16" i="11"/>
  <c r="X17" i="20"/>
  <c r="BJ11" i="11"/>
  <c r="S9" i="17"/>
  <c r="X9" i="17"/>
  <c r="V11" i="11"/>
  <c r="BI21" i="11"/>
  <c r="AY18" i="11"/>
  <c r="BF29" i="11"/>
  <c r="BH25" i="11"/>
  <c r="V21" i="11"/>
  <c r="AP10" i="21"/>
  <c r="BH10" i="11"/>
  <c r="BL12" i="11"/>
  <c r="BE22" i="11"/>
  <c r="AP21" i="20"/>
  <c r="Q10" i="21"/>
  <c r="V13" i="11"/>
  <c r="BG9" i="11"/>
  <c r="BH20" i="16"/>
  <c r="BL25" i="11"/>
  <c r="S17" i="14"/>
  <c r="V17" i="14" s="1"/>
  <c r="S9" i="14"/>
  <c r="V9" i="14" s="1"/>
  <c r="V9" i="11"/>
  <c r="BH16" i="11"/>
  <c r="AM9" i="11"/>
  <c r="AO17" i="17"/>
  <c r="BI11" i="11"/>
  <c r="BJ25" i="11"/>
  <c r="AO26" i="17"/>
  <c r="BH19" i="11"/>
  <c r="BI29" i="11"/>
  <c r="BH22" i="16"/>
  <c r="V28" i="11"/>
  <c r="BI16" i="11"/>
  <c r="BL13" i="11"/>
  <c r="R10" i="21"/>
  <c r="R14" i="21" s="1"/>
  <c r="BG20" i="11"/>
  <c r="X18" i="20"/>
  <c r="AP22" i="20"/>
  <c r="BI12" i="11"/>
  <c r="BI20" i="11"/>
  <c r="X20" i="20"/>
  <c r="BH18" i="11"/>
  <c r="AP16" i="20"/>
  <c r="BF9" i="11"/>
  <c r="BF16" i="11"/>
  <c r="S28" i="14"/>
  <c r="V28" i="14" s="1"/>
  <c r="AY13" i="11"/>
  <c r="V13" i="16"/>
  <c r="T14" i="11"/>
  <c r="R25" i="14"/>
  <c r="AM16" i="11"/>
  <c r="AP23" i="21"/>
  <c r="AO10" i="17"/>
  <c r="BK11" i="11"/>
  <c r="BG13" i="11"/>
  <c r="AQ14" i="21"/>
  <c r="BH28" i="16"/>
  <c r="V20" i="11"/>
  <c r="R18" i="20"/>
  <c r="R23" i="20" s="1"/>
  <c r="BK13" i="11"/>
  <c r="V29" i="11"/>
  <c r="BK25" i="11"/>
  <c r="P25" i="11" s="1"/>
  <c r="BK21" i="11"/>
  <c r="BG18" i="11"/>
  <c r="V22" i="11"/>
  <c r="BF19" i="11"/>
  <c r="BJ18" i="11"/>
  <c r="BL16" i="11"/>
  <c r="T20" i="11"/>
  <c r="AY21" i="11"/>
  <c r="AY9" i="11"/>
  <c r="AY14" i="11" s="1"/>
  <c r="T18" i="16"/>
  <c r="AM19" i="11"/>
  <c r="AP26" i="21"/>
  <c r="AP14" i="21"/>
  <c r="AO28" i="17"/>
  <c r="BL20" i="11"/>
  <c r="BK29" i="11"/>
  <c r="AP18" i="20"/>
  <c r="BI25" i="11"/>
  <c r="BI28" i="11"/>
  <c r="T16" i="16"/>
  <c r="BF21" i="11"/>
  <c r="S10" i="14"/>
  <c r="V10" i="14" s="1"/>
  <c r="T29" i="11"/>
  <c r="AY16" i="11"/>
  <c r="AY23" i="11" s="1"/>
  <c r="BT28" i="17"/>
  <c r="BT20" i="20"/>
  <c r="BT25" i="17"/>
  <c r="BT16" i="17"/>
  <c r="BT11" i="17"/>
  <c r="BT19" i="16"/>
  <c r="BT28" i="16"/>
  <c r="BT19" i="20"/>
  <c r="BT9" i="20"/>
  <c r="BT18" i="16"/>
  <c r="BT13" i="16"/>
  <c r="V16" i="20"/>
  <c r="V23" i="20" s="1"/>
  <c r="U12" i="17"/>
  <c r="X20" i="16"/>
  <c r="BT21" i="17"/>
  <c r="BT18" i="20"/>
  <c r="BT13" i="20"/>
  <c r="BT10" i="17"/>
  <c r="BT17" i="16"/>
  <c r="BT12" i="16"/>
  <c r="BT21" i="16"/>
  <c r="BT25" i="20"/>
  <c r="BT17" i="20"/>
  <c r="BT12" i="20"/>
  <c r="BT29" i="17"/>
  <c r="BT22" i="17"/>
  <c r="BT25" i="16"/>
  <c r="BT16" i="16"/>
  <c r="BT11" i="16"/>
  <c r="U13" i="17"/>
  <c r="X17" i="16"/>
  <c r="X21" i="16"/>
  <c r="BT16" i="20"/>
  <c r="BT11" i="20"/>
  <c r="BT20" i="17"/>
  <c r="BT9" i="17"/>
  <c r="U10" i="17"/>
  <c r="X9" i="16"/>
  <c r="X31" i="16" s="1"/>
  <c r="S21" i="17"/>
  <c r="BT29" i="20"/>
  <c r="BT19" i="17"/>
  <c r="BT10" i="16"/>
  <c r="BT28" i="20"/>
  <c r="BT22" i="20"/>
  <c r="BT10" i="20"/>
  <c r="BT18" i="17"/>
  <c r="BT13" i="17"/>
  <c r="BT29" i="16"/>
  <c r="BT22" i="16"/>
  <c r="V12" i="16"/>
  <c r="S11" i="17"/>
  <c r="BT21" i="20"/>
  <c r="BT17" i="17"/>
  <c r="BT12" i="17"/>
  <c r="BT20" i="16"/>
  <c r="BT9" i="16"/>
  <c r="S22" i="17"/>
  <c r="AA17" i="16"/>
  <c r="AA28" i="16"/>
  <c r="T14" i="16"/>
  <c r="AA29" i="16"/>
  <c r="S28" i="17"/>
  <c r="AY10" i="11"/>
  <c r="AY22" i="11"/>
  <c r="S25" i="17"/>
  <c r="X22" i="17"/>
  <c r="T13" i="11"/>
  <c r="AA20" i="16"/>
  <c r="AA18" i="16"/>
  <c r="T19" i="11"/>
  <c r="R28" i="14"/>
  <c r="S12" i="14"/>
  <c r="V12" i="14" s="1"/>
  <c r="T21" i="11"/>
  <c r="AY20" i="11"/>
  <c r="AY17" i="11"/>
  <c r="X10" i="17"/>
  <c r="AA16" i="16"/>
  <c r="V16" i="16"/>
  <c r="AY12" i="11"/>
  <c r="T28" i="11"/>
  <c r="X16" i="17"/>
  <c r="T22" i="11"/>
  <c r="R10" i="14"/>
  <c r="X13" i="17"/>
  <c r="S11" i="14"/>
  <c r="V11" i="14" s="1"/>
  <c r="T25" i="11"/>
  <c r="R17" i="14"/>
  <c r="BE20" i="11"/>
  <c r="S29" i="14"/>
  <c r="V29" i="14" s="1"/>
  <c r="T16" i="11"/>
  <c r="AY11" i="11"/>
  <c r="AY28" i="11"/>
  <c r="S18" i="14"/>
  <c r="V18" i="14" s="1"/>
  <c r="T17" i="11"/>
  <c r="X18" i="17"/>
  <c r="S13" i="14"/>
  <c r="V13" i="14" s="1"/>
  <c r="BF12" i="11"/>
  <c r="S16" i="16"/>
  <c r="S23" i="16" s="1"/>
  <c r="S31" i="16" s="1"/>
  <c r="Q18" i="17"/>
  <c r="P16" i="17"/>
  <c r="BH20" i="11"/>
  <c r="AP14" i="20"/>
  <c r="BK20" i="11"/>
  <c r="BG10" i="11"/>
  <c r="BE12" i="11"/>
  <c r="BH9" i="11"/>
  <c r="BK16" i="11"/>
  <c r="AQ10" i="21"/>
  <c r="BH25" i="16"/>
  <c r="BK28" i="11"/>
  <c r="BG21" i="11"/>
  <c r="AO29" i="17"/>
  <c r="BJ20" i="11"/>
  <c r="BK10" i="11"/>
  <c r="T19" i="20"/>
  <c r="AY25" i="11"/>
  <c r="AY30" i="11" s="1"/>
  <c r="T12" i="11"/>
  <c r="R11" i="14"/>
  <c r="S10" i="17"/>
  <c r="BI10" i="11"/>
  <c r="BH26" i="16"/>
  <c r="BH10" i="16"/>
  <c r="BJ17" i="11"/>
  <c r="BH29" i="11"/>
  <c r="Q16" i="17"/>
  <c r="BG11" i="11"/>
  <c r="BL18" i="11"/>
  <c r="BF17" i="11"/>
  <c r="BE16" i="11"/>
  <c r="BH23" i="16"/>
  <c r="T11" i="11"/>
  <c r="S18" i="17"/>
  <c r="R19" i="14"/>
  <c r="BG17" i="11"/>
  <c r="BL21" i="11"/>
  <c r="BK22" i="11"/>
  <c r="BL9" i="11"/>
  <c r="AQ12" i="21"/>
  <c r="AO25" i="17"/>
  <c r="BH22" i="11"/>
  <c r="BH12" i="16"/>
  <c r="BH30" i="16"/>
  <c r="BG25" i="11"/>
  <c r="BI17" i="11"/>
  <c r="BJ10" i="11"/>
  <c r="BJ22" i="11"/>
  <c r="BH14" i="16"/>
  <c r="BH21" i="11"/>
  <c r="BK17" i="11"/>
  <c r="T14" i="20"/>
  <c r="BG22" i="11"/>
  <c r="F14" i="12"/>
  <c r="F30" i="3"/>
  <c r="G30" i="3" s="1"/>
  <c r="S31" i="8"/>
  <c r="J28" i="7"/>
  <c r="BE25" i="8"/>
  <c r="BD25" i="8"/>
  <c r="H25" i="7" s="1"/>
  <c r="BG25" i="8"/>
  <c r="K25" i="7" s="1"/>
  <c r="BA26" i="8"/>
  <c r="BF25" i="8"/>
  <c r="J25" i="7" s="1"/>
  <c r="AY23" i="8"/>
  <c r="BB26" i="13"/>
  <c r="BE26" i="13" s="1"/>
  <c r="S13" i="17"/>
  <c r="K26" i="11"/>
  <c r="K30" i="11" s="1"/>
  <c r="BB31" i="19"/>
  <c r="BF16" i="8"/>
  <c r="J16" i="7" s="1"/>
  <c r="AE31" i="13"/>
  <c r="D30" i="12"/>
  <c r="B30" i="7"/>
  <c r="BE28" i="8"/>
  <c r="I28" i="7" s="1"/>
  <c r="BB30" i="8"/>
  <c r="L31" i="13"/>
  <c r="AM14" i="17"/>
  <c r="AY30" i="8"/>
  <c r="BD18" i="13"/>
  <c r="AZ23" i="13"/>
  <c r="BB14" i="13"/>
  <c r="G26" i="12"/>
  <c r="E26" i="7"/>
  <c r="BG10" i="8"/>
  <c r="K10" i="7" s="1"/>
  <c r="AY14" i="8"/>
  <c r="BG12" i="8"/>
  <c r="K12" i="7" s="1"/>
  <c r="BD12" i="8"/>
  <c r="H12" i="7" s="1"/>
  <c r="BD16" i="8"/>
  <c r="H16" i="7" s="1"/>
  <c r="BG16" i="8"/>
  <c r="K16" i="7" s="1"/>
  <c r="BG9" i="8"/>
  <c r="K9" i="7" s="1"/>
  <c r="BI20" i="16"/>
  <c r="AZ30" i="8"/>
  <c r="BD9" i="8"/>
  <c r="H9" i="7" s="1"/>
  <c r="BF9" i="8"/>
  <c r="J9" i="7" s="1"/>
  <c r="BE9" i="8"/>
  <c r="I9" i="7" s="1"/>
  <c r="BA14" i="8"/>
  <c r="X12" i="17"/>
  <c r="AE14" i="17"/>
  <c r="BF30" i="13"/>
  <c r="AA23" i="21"/>
  <c r="AO20" i="11"/>
  <c r="BC26" i="13"/>
  <c r="BC31" i="13" s="1"/>
  <c r="BG30" i="13"/>
  <c r="J18" i="7"/>
  <c r="BG21" i="8"/>
  <c r="X21" i="17"/>
  <c r="N14" i="17"/>
  <c r="AT22" i="20"/>
  <c r="P23" i="20"/>
  <c r="L10" i="2"/>
  <c r="L22" i="2"/>
  <c r="L28" i="2"/>
  <c r="X22" i="16"/>
  <c r="BF30" i="16"/>
  <c r="E26" i="17"/>
  <c r="BD23" i="16"/>
  <c r="AY33" i="20"/>
  <c r="X21" i="20"/>
  <c r="H30" i="12"/>
  <c r="C30" i="7"/>
  <c r="AK23" i="17"/>
  <c r="Z14" i="20"/>
  <c r="AA10" i="16"/>
  <c r="AK14" i="17"/>
  <c r="AF14" i="17"/>
  <c r="AF23" i="20"/>
  <c r="AN23" i="20"/>
  <c r="AN33" i="20" s="1"/>
  <c r="F17" i="11"/>
  <c r="I31" i="8"/>
  <c r="F17" i="17"/>
  <c r="U31" i="13"/>
  <c r="AU23" i="17"/>
  <c r="G30" i="16"/>
  <c r="AA25" i="16"/>
  <c r="AG14" i="17"/>
  <c r="AJ14" i="17"/>
  <c r="AJ23" i="17"/>
  <c r="J23" i="17"/>
  <c r="K23" i="17"/>
  <c r="AA14" i="17"/>
  <c r="BL25" i="16"/>
  <c r="S16" i="17"/>
  <c r="L29" i="2"/>
  <c r="X12" i="16"/>
  <c r="E14" i="17"/>
  <c r="AH14" i="16"/>
  <c r="AW23" i="20"/>
  <c r="AW26" i="20" s="1"/>
  <c r="AW30" i="20" s="1"/>
  <c r="S17" i="17"/>
  <c r="L11" i="2"/>
  <c r="L16" i="2"/>
  <c r="V19" i="16"/>
  <c r="L12" i="2"/>
  <c r="L17" i="2"/>
  <c r="L25" i="2"/>
  <c r="X19" i="16"/>
  <c r="V21" i="16"/>
  <c r="L13" i="2"/>
  <c r="L18" i="2"/>
  <c r="X10" i="21"/>
  <c r="AO14" i="21"/>
  <c r="BC31" i="21"/>
  <c r="L19" i="2"/>
  <c r="AV23" i="20"/>
  <c r="AV31" i="20" s="1"/>
  <c r="L20" i="2"/>
  <c r="X16" i="16"/>
  <c r="X23" i="16" s="1"/>
  <c r="X25" i="16"/>
  <c r="X30" i="16" s="1"/>
  <c r="U9" i="17"/>
  <c r="U31" i="17" s="1"/>
  <c r="AA11" i="16"/>
  <c r="AK23" i="20"/>
  <c r="O23" i="20"/>
  <c r="V10" i="16"/>
  <c r="L9" i="2"/>
  <c r="L21" i="2"/>
  <c r="AY31" i="11"/>
  <c r="H31" i="12"/>
  <c r="B14" i="6"/>
  <c r="BL18" i="16"/>
  <c r="Z23" i="16"/>
  <c r="AA23" i="16" s="1"/>
  <c r="BF14" i="16"/>
  <c r="BL19" i="16"/>
  <c r="AP14" i="16"/>
  <c r="AL31" i="16"/>
  <c r="BK14" i="16"/>
  <c r="O23" i="16"/>
  <c r="O26" i="16" s="1"/>
  <c r="R26" i="16"/>
  <c r="AA9" i="16"/>
  <c r="AB14" i="16"/>
  <c r="G14" i="16"/>
  <c r="BD14" i="16"/>
  <c r="AB26" i="16"/>
  <c r="BE14" i="16"/>
  <c r="F16" i="16"/>
  <c r="BL16" i="16" s="1"/>
  <c r="V25" i="16"/>
  <c r="V9" i="16"/>
  <c r="BL28" i="16"/>
  <c r="K14" i="2"/>
  <c r="U14" i="16"/>
  <c r="AF14" i="16"/>
  <c r="AA14" i="11"/>
  <c r="F11" i="11"/>
  <c r="AQ11" i="11" s="1"/>
  <c r="F11" i="16"/>
  <c r="BL11" i="16" s="1"/>
  <c r="E9" i="6"/>
  <c r="W23" i="16"/>
  <c r="W26" i="16" s="1"/>
  <c r="W30" i="16" s="1"/>
  <c r="W14" i="16"/>
  <c r="X13" i="16"/>
  <c r="T23" i="17"/>
  <c r="T26" i="17" s="1"/>
  <c r="T30" i="17" s="1"/>
  <c r="U26" i="16"/>
  <c r="F26" i="16"/>
  <c r="F30" i="16"/>
  <c r="D30" i="14"/>
  <c r="E30" i="14"/>
  <c r="C10" i="14"/>
  <c r="K10" i="14" s="1"/>
  <c r="C22" i="14"/>
  <c r="K22" i="14" s="1"/>
  <c r="C21" i="14"/>
  <c r="K21" i="14" s="1"/>
  <c r="C13" i="14"/>
  <c r="K13" i="14" s="1"/>
  <c r="BF16" i="13"/>
  <c r="BG16" i="13"/>
  <c r="BB23" i="13"/>
  <c r="BA23" i="13"/>
  <c r="BA31" i="13" s="1"/>
  <c r="BE17" i="13"/>
  <c r="BE16" i="13"/>
  <c r="BF17" i="13"/>
  <c r="BF23" i="13"/>
  <c r="I32" i="20"/>
  <c r="Q32" i="20"/>
  <c r="G14" i="14"/>
  <c r="AX32" i="20"/>
  <c r="AR23" i="11" l="1"/>
  <c r="F23" i="2"/>
  <c r="AL14" i="11"/>
  <c r="F31" i="7"/>
  <c r="H14" i="2"/>
  <c r="AL25" i="11"/>
  <c r="BH11" i="16"/>
  <c r="BE11" i="11"/>
  <c r="AP17" i="20"/>
  <c r="T18" i="11"/>
  <c r="R18" i="14"/>
  <c r="V10" i="21"/>
  <c r="R13" i="14"/>
  <c r="S19" i="14"/>
  <c r="V19" i="14" s="1"/>
  <c r="R29" i="14"/>
  <c r="S16" i="14"/>
  <c r="V16" i="14" s="1"/>
  <c r="X25" i="17"/>
  <c r="X22" i="20"/>
  <c r="U10" i="21"/>
  <c r="S21" i="14"/>
  <c r="V21" i="14" s="1"/>
  <c r="R22" i="14"/>
  <c r="T18" i="20"/>
  <c r="AA12" i="21"/>
  <c r="R31" i="20"/>
  <c r="R31" i="19"/>
  <c r="AS14" i="21"/>
  <c r="AP23" i="20"/>
  <c r="B23" i="6"/>
  <c r="I13" i="12"/>
  <c r="I10" i="12"/>
  <c r="D9" i="12"/>
  <c r="F26" i="3"/>
  <c r="G26" i="3" s="1"/>
  <c r="AM14" i="11"/>
  <c r="C29" i="6"/>
  <c r="I29" i="12" s="1"/>
  <c r="H25" i="2"/>
  <c r="BE14" i="13"/>
  <c r="J9" i="12"/>
  <c r="C14" i="6"/>
  <c r="Q16" i="11"/>
  <c r="D26" i="6"/>
  <c r="AO14" i="11"/>
  <c r="AO14" i="17"/>
  <c r="BD14" i="13"/>
  <c r="H33" i="11"/>
  <c r="J13" i="10"/>
  <c r="L13" i="10" s="1"/>
  <c r="AC20" i="11"/>
  <c r="AM14" i="21"/>
  <c r="Q9" i="11"/>
  <c r="AN29" i="11"/>
  <c r="D23" i="3"/>
  <c r="E23" i="3" s="1"/>
  <c r="J25" i="10"/>
  <c r="L25" i="10" s="1"/>
  <c r="E14" i="6"/>
  <c r="AB26" i="17"/>
  <c r="AW33" i="17"/>
  <c r="AC26" i="17"/>
  <c r="W14" i="17"/>
  <c r="X14" i="17" s="1"/>
  <c r="BJ14" i="11"/>
  <c r="AG14" i="11"/>
  <c r="F16" i="17"/>
  <c r="AQ16" i="17" s="1"/>
  <c r="K9" i="12"/>
  <c r="I9" i="12"/>
  <c r="K10" i="12"/>
  <c r="AY26" i="11"/>
  <c r="J16" i="12"/>
  <c r="AN25" i="11"/>
  <c r="R31" i="21"/>
  <c r="L31" i="21"/>
  <c r="G32" i="21"/>
  <c r="M31" i="21"/>
  <c r="BE23" i="19"/>
  <c r="BF23" i="19"/>
  <c r="AC31" i="17"/>
  <c r="F11" i="17"/>
  <c r="AQ11" i="17" s="1"/>
  <c r="X14" i="16"/>
  <c r="BK31" i="13"/>
  <c r="AA31" i="13"/>
  <c r="N31" i="13"/>
  <c r="Q25" i="11"/>
  <c r="C14" i="5"/>
  <c r="Y28" i="11"/>
  <c r="AP29" i="11"/>
  <c r="AP20" i="11"/>
  <c r="AP18" i="11"/>
  <c r="AP16" i="11"/>
  <c r="Y10" i="11"/>
  <c r="AP11" i="11"/>
  <c r="J28" i="10"/>
  <c r="L28" i="10" s="1"/>
  <c r="C31" i="2"/>
  <c r="AB31" i="21"/>
  <c r="V31" i="20"/>
  <c r="AN31" i="20"/>
  <c r="BE30" i="19"/>
  <c r="P23" i="17"/>
  <c r="P31" i="17" s="1"/>
  <c r="BE30" i="13"/>
  <c r="Q23" i="17"/>
  <c r="Q31" i="17" s="1"/>
  <c r="N26" i="11"/>
  <c r="Q26" i="11" s="1"/>
  <c r="J22" i="10"/>
  <c r="L22" i="10" s="1"/>
  <c r="J21" i="10"/>
  <c r="L21" i="10" s="1"/>
  <c r="J19" i="10"/>
  <c r="L19" i="10" s="1"/>
  <c r="J17" i="10"/>
  <c r="L17" i="10" s="1"/>
  <c r="AW26" i="21"/>
  <c r="D26" i="12"/>
  <c r="BD19" i="8"/>
  <c r="H19" i="7" s="1"/>
  <c r="BE18" i="8"/>
  <c r="I18" i="7" s="1"/>
  <c r="AT31" i="8"/>
  <c r="P12" i="11"/>
  <c r="AP19" i="11"/>
  <c r="AV23" i="11"/>
  <c r="AV26" i="11" s="1"/>
  <c r="J12" i="10"/>
  <c r="L12" i="10" s="1"/>
  <c r="J18" i="10"/>
  <c r="L18" i="10" s="1"/>
  <c r="AO29" i="11"/>
  <c r="AB33" i="21"/>
  <c r="H31" i="21"/>
  <c r="AS30" i="21"/>
  <c r="AF31" i="21"/>
  <c r="AT26" i="21"/>
  <c r="M31" i="19"/>
  <c r="AC31" i="19"/>
  <c r="AK31" i="19"/>
  <c r="AS31" i="19"/>
  <c r="AR14" i="20"/>
  <c r="AJ31" i="19"/>
  <c r="Z26" i="16"/>
  <c r="BD31" i="16"/>
  <c r="BF26" i="13"/>
  <c r="BD10" i="13"/>
  <c r="K16" i="12"/>
  <c r="BI23" i="11"/>
  <c r="W31" i="11"/>
  <c r="Q13" i="11"/>
  <c r="J31" i="11"/>
  <c r="H28" i="7"/>
  <c r="AK30" i="11"/>
  <c r="G30" i="11"/>
  <c r="AJ30" i="11"/>
  <c r="AG30" i="11"/>
  <c r="AG26" i="11"/>
  <c r="AE14" i="11"/>
  <c r="AS14" i="11"/>
  <c r="AS23" i="11"/>
  <c r="AP26" i="16"/>
  <c r="AM26" i="17"/>
  <c r="AH26" i="17"/>
  <c r="AS30" i="16"/>
  <c r="BE30" i="16"/>
  <c r="J14" i="16"/>
  <c r="G33" i="21"/>
  <c r="AN31" i="21"/>
  <c r="D30" i="5"/>
  <c r="AH14" i="11"/>
  <c r="AH23" i="11"/>
  <c r="AB31" i="17"/>
  <c r="AT10" i="21"/>
  <c r="C18" i="14"/>
  <c r="K18" i="14" s="1"/>
  <c r="H33" i="12"/>
  <c r="E14" i="12"/>
  <c r="Q20" i="11"/>
  <c r="J11" i="10"/>
  <c r="L11" i="10" s="1"/>
  <c r="J9" i="10"/>
  <c r="L9" i="10" s="1"/>
  <c r="E30" i="2"/>
  <c r="B28" i="6"/>
  <c r="H13" i="2"/>
  <c r="AN33" i="21"/>
  <c r="H33" i="21"/>
  <c r="G31" i="21"/>
  <c r="AL33" i="21"/>
  <c r="AE31" i="21"/>
  <c r="K30" i="21"/>
  <c r="AT23" i="21"/>
  <c r="AG14" i="21"/>
  <c r="AG31" i="21" s="1"/>
  <c r="AQ32" i="20"/>
  <c r="AV32" i="20"/>
  <c r="X32" i="20"/>
  <c r="AU32" i="20"/>
  <c r="AF32" i="20"/>
  <c r="AA32" i="20"/>
  <c r="AD32" i="20"/>
  <c r="Y32" i="20"/>
  <c r="AJ32" i="20"/>
  <c r="W32" i="20"/>
  <c r="G30" i="14"/>
  <c r="AE32" i="20"/>
  <c r="AG32" i="20"/>
  <c r="O32" i="20"/>
  <c r="AN32" i="20"/>
  <c r="E32" i="20"/>
  <c r="U17" i="11"/>
  <c r="O12" i="11"/>
  <c r="H32" i="20"/>
  <c r="Z32" i="20"/>
  <c r="O18" i="11"/>
  <c r="AW32" i="20"/>
  <c r="AQ32" i="21"/>
  <c r="O17" i="11"/>
  <c r="AP32" i="20"/>
  <c r="AH32" i="20"/>
  <c r="G26" i="14"/>
  <c r="U18" i="11"/>
  <c r="R32" i="20"/>
  <c r="AM32" i="20"/>
  <c r="AB32" i="20"/>
  <c r="N32" i="20"/>
  <c r="F32" i="20"/>
  <c r="L32" i="20"/>
  <c r="T32" i="20"/>
  <c r="M32" i="20"/>
  <c r="AI32" i="20"/>
  <c r="U12" i="11"/>
  <c r="G23" i="14"/>
  <c r="P32" i="20"/>
  <c r="O10" i="11"/>
  <c r="U10" i="11"/>
  <c r="S32" i="20"/>
  <c r="T32" i="21"/>
  <c r="J32" i="20"/>
  <c r="W32" i="21"/>
  <c r="AK32" i="20"/>
  <c r="K32" i="20"/>
  <c r="AH33" i="17" l="1"/>
  <c r="AH31" i="17"/>
  <c r="BE14" i="19"/>
  <c r="AP31" i="19"/>
  <c r="Q31" i="19"/>
  <c r="X31" i="19"/>
  <c r="AF31" i="19"/>
  <c r="AN31" i="19"/>
  <c r="AM31" i="19"/>
  <c r="BI31" i="19"/>
  <c r="AY31" i="19"/>
  <c r="AC23" i="20"/>
  <c r="G23" i="20"/>
  <c r="G32" i="20" s="1"/>
  <c r="Y23" i="20"/>
  <c r="AG23" i="20"/>
  <c r="K23" i="20"/>
  <c r="O31" i="20"/>
  <c r="BC31" i="19"/>
  <c r="BF30" i="19"/>
  <c r="AL31" i="19"/>
  <c r="AR31" i="19"/>
  <c r="EL31" i="19"/>
  <c r="AO26" i="20"/>
  <c r="S31" i="19"/>
  <c r="AA31" i="19"/>
  <c r="AI31" i="19"/>
  <c r="BK31" i="19"/>
  <c r="AR26" i="20"/>
  <c r="AO30" i="20"/>
  <c r="CL31" i="19"/>
  <c r="P31" i="20"/>
  <c r="F18" i="20"/>
  <c r="AS18" i="20" s="1"/>
  <c r="AB23" i="20"/>
  <c r="AB31" i="20" s="1"/>
  <c r="AS19" i="20"/>
  <c r="AS20" i="20"/>
  <c r="Z23" i="20"/>
  <c r="Z31" i="20" s="1"/>
  <c r="H23" i="20"/>
  <c r="H31" i="20" s="1"/>
  <c r="L23" i="20"/>
  <c r="L26" i="20" s="1"/>
  <c r="E23" i="20"/>
  <c r="AJ23" i="20"/>
  <c r="AJ31" i="20" s="1"/>
  <c r="AL23" i="20"/>
  <c r="AA23" i="20"/>
  <c r="AQ23" i="20"/>
  <c r="BB33" i="21"/>
  <c r="ER31" i="19"/>
  <c r="T20" i="20"/>
  <c r="J30" i="17"/>
  <c r="AN26" i="16"/>
  <c r="AD14" i="16"/>
  <c r="AD31" i="16" s="1"/>
  <c r="BF31" i="13"/>
  <c r="BG14" i="13"/>
  <c r="BD30" i="13"/>
  <c r="BM31" i="13"/>
  <c r="AD31" i="13"/>
  <c r="AI31" i="13"/>
  <c r="BG13" i="13"/>
  <c r="BE20" i="13"/>
  <c r="BF21" i="13"/>
  <c r="BF29" i="13"/>
  <c r="BE10" i="13"/>
  <c r="AK31" i="13"/>
  <c r="K31" i="13"/>
  <c r="BF20" i="13"/>
  <c r="E33" i="21"/>
  <c r="B31" i="7"/>
  <c r="BT33" i="17"/>
  <c r="BT23" i="16"/>
  <c r="P13" i="11"/>
  <c r="C23" i="6"/>
  <c r="AU26" i="21"/>
  <c r="J10" i="10"/>
  <c r="L10" i="10" s="1"/>
  <c r="C30" i="5"/>
  <c r="D14" i="5"/>
  <c r="G30" i="12"/>
  <c r="BG30" i="16"/>
  <c r="F26" i="7"/>
  <c r="BB26" i="8"/>
  <c r="BE26" i="8" s="1"/>
  <c r="BG22" i="8"/>
  <c r="K22" i="7" s="1"/>
  <c r="BD11" i="8"/>
  <c r="H11" i="7" s="1"/>
  <c r="BG17" i="8"/>
  <c r="K17" i="7" s="1"/>
  <c r="S23" i="11"/>
  <c r="E18" i="6"/>
  <c r="L31" i="11"/>
  <c r="AR14" i="11"/>
  <c r="G14" i="7"/>
  <c r="G23" i="7"/>
  <c r="F23" i="7"/>
  <c r="Q26" i="16"/>
  <c r="AU26" i="16"/>
  <c r="BA26" i="16"/>
  <c r="AZ26" i="16"/>
  <c r="AL26" i="17"/>
  <c r="AT30" i="16"/>
  <c r="AC30" i="16"/>
  <c r="I30" i="16"/>
  <c r="AM30" i="17"/>
  <c r="Q14" i="16"/>
  <c r="AS23" i="16"/>
  <c r="AZ14" i="16"/>
  <c r="EM31" i="8"/>
  <c r="AY33" i="21"/>
  <c r="R23" i="17"/>
  <c r="K26" i="17"/>
  <c r="G26" i="11"/>
  <c r="G23" i="11"/>
  <c r="AQ25" i="11"/>
  <c r="AZ23" i="16"/>
  <c r="AL23" i="17"/>
  <c r="J23" i="16"/>
  <c r="J30" i="16"/>
  <c r="BQ23" i="16"/>
  <c r="BQ26" i="16" s="1"/>
  <c r="F9" i="16"/>
  <c r="BL9" i="16" s="1"/>
  <c r="I30" i="17"/>
  <c r="AQ10" i="17"/>
  <c r="N14" i="21"/>
  <c r="M30" i="2"/>
  <c r="C20" i="14"/>
  <c r="K20" i="14" s="1"/>
  <c r="C25" i="14"/>
  <c r="K25" i="14" s="1"/>
  <c r="F30" i="14"/>
  <c r="D23" i="14"/>
  <c r="D14" i="14"/>
  <c r="D33" i="12"/>
  <c r="F12" i="12"/>
  <c r="AV30" i="11"/>
  <c r="F30" i="11"/>
  <c r="AQ30" i="11" s="1"/>
  <c r="AQ28" i="11"/>
  <c r="P17" i="11"/>
  <c r="Q17" i="11"/>
  <c r="F23" i="11"/>
  <c r="BG23" i="11"/>
  <c r="AA31" i="11"/>
  <c r="P20" i="11"/>
  <c r="AQ17" i="11"/>
  <c r="AB31" i="11"/>
  <c r="N30" i="11"/>
  <c r="Q30" i="11" s="1"/>
  <c r="I31" i="11"/>
  <c r="AE30" i="11"/>
  <c r="AI30" i="11"/>
  <c r="AJ26" i="11"/>
  <c r="AE26" i="11"/>
  <c r="AK26" i="11"/>
  <c r="AP17" i="11"/>
  <c r="Z23" i="11"/>
  <c r="AC9" i="11"/>
  <c r="AC14" i="11" s="1"/>
  <c r="Y14" i="11"/>
  <c r="AC23" i="11"/>
  <c r="F26" i="11"/>
  <c r="B30" i="5"/>
  <c r="D26" i="5"/>
  <c r="C23" i="5"/>
  <c r="B14" i="5"/>
  <c r="D13" i="6"/>
  <c r="J13" i="12" s="1"/>
  <c r="J21" i="7"/>
  <c r="J16" i="10"/>
  <c r="L16" i="10" s="1"/>
  <c r="K31" i="2"/>
  <c r="L19" i="14"/>
  <c r="F30" i="2"/>
  <c r="C17" i="14"/>
  <c r="K17" i="14" s="1"/>
  <c r="F26" i="14"/>
  <c r="AX30" i="11"/>
  <c r="AN31" i="16"/>
  <c r="H26" i="2"/>
  <c r="AU31" i="17"/>
  <c r="Y30" i="11"/>
  <c r="J17" i="7"/>
  <c r="J17" i="12"/>
  <c r="D28" i="6"/>
  <c r="J28" i="12" s="1"/>
  <c r="D30" i="3"/>
  <c r="AN28" i="11"/>
  <c r="F23" i="3"/>
  <c r="G23" i="3" s="1"/>
  <c r="H14" i="3"/>
  <c r="AN23" i="11"/>
  <c r="AL26" i="11"/>
  <c r="E23" i="6"/>
  <c r="AO26" i="11"/>
  <c r="Y31" i="17"/>
  <c r="R31" i="11"/>
  <c r="BE23" i="11"/>
  <c r="F20" i="10"/>
  <c r="J20" i="10"/>
  <c r="L20" i="10" s="1"/>
  <c r="AQ26" i="11"/>
  <c r="BJ23" i="11"/>
  <c r="P16" i="11"/>
  <c r="K12" i="12"/>
  <c r="K31" i="17"/>
  <c r="AJ23" i="11"/>
  <c r="BT26" i="16"/>
  <c r="D23" i="5"/>
  <c r="P18" i="11"/>
  <c r="D25" i="2"/>
  <c r="E25" i="6"/>
  <c r="K25" i="12" s="1"/>
  <c r="AO25" i="11"/>
  <c r="F17" i="2"/>
  <c r="H17" i="2"/>
  <c r="J17" i="2"/>
  <c r="F14" i="3"/>
  <c r="E9" i="3"/>
  <c r="G9" i="3"/>
  <c r="T23" i="16"/>
  <c r="AO23" i="11"/>
  <c r="BK23" i="11"/>
  <c r="W23" i="17"/>
  <c r="X23" i="17" s="1"/>
  <c r="G30" i="2"/>
  <c r="I30" i="2"/>
  <c r="B26" i="5"/>
  <c r="AP30" i="17"/>
  <c r="I30" i="3"/>
  <c r="E30" i="12"/>
  <c r="BF22" i="8"/>
  <c r="J22" i="7" s="1"/>
  <c r="AU23" i="11"/>
  <c r="CK31" i="8"/>
  <c r="AK26" i="16"/>
  <c r="AV26" i="16"/>
  <c r="AU30" i="16"/>
  <c r="AM14" i="16"/>
  <c r="AX23" i="16"/>
  <c r="AY23" i="16"/>
  <c r="L23" i="17"/>
  <c r="G26" i="16"/>
  <c r="BM14" i="16"/>
  <c r="AE14" i="16"/>
  <c r="AE31" i="16" s="1"/>
  <c r="J21" i="12"/>
  <c r="M31" i="11"/>
  <c r="AU30" i="21"/>
  <c r="BH31" i="8"/>
  <c r="Z30" i="11"/>
  <c r="BE26" i="16"/>
  <c r="AJ26" i="17"/>
  <c r="AV30" i="16"/>
  <c r="AF30" i="16"/>
  <c r="AJ30" i="17"/>
  <c r="E30" i="17"/>
  <c r="AF23" i="16"/>
  <c r="AT23" i="16"/>
  <c r="BS23" i="16"/>
  <c r="BS26" i="16" s="1"/>
  <c r="BS30" i="16" s="1"/>
  <c r="K14" i="16"/>
  <c r="K31" i="16" s="1"/>
  <c r="P14" i="21"/>
  <c r="P31" i="21" s="1"/>
  <c r="B26" i="7"/>
  <c r="D25" i="6"/>
  <c r="J25" i="12" s="1"/>
  <c r="BB14" i="8"/>
  <c r="BE14" i="8" s="1"/>
  <c r="AX26" i="16"/>
  <c r="BC26" i="16"/>
  <c r="BC30" i="16"/>
  <c r="AB23" i="16"/>
  <c r="AT14" i="16"/>
  <c r="BC14" i="16"/>
  <c r="AV33" i="17"/>
  <c r="P23" i="16"/>
  <c r="P26" i="16" s="1"/>
  <c r="M23" i="17"/>
  <c r="M31" i="17" s="1"/>
  <c r="H31" i="11"/>
  <c r="G33" i="11"/>
  <c r="I22" i="12"/>
  <c r="K31" i="8"/>
  <c r="F30" i="12"/>
  <c r="F33" i="12" s="1"/>
  <c r="BG11" i="8"/>
  <c r="K11" i="7" s="1"/>
  <c r="BD10" i="8"/>
  <c r="H10" i="7" s="1"/>
  <c r="AQ20" i="11"/>
  <c r="AF31" i="8"/>
  <c r="AG26" i="16"/>
  <c r="AG31" i="16" s="1"/>
  <c r="AA26" i="17"/>
  <c r="AK26" i="17"/>
  <c r="Q30" i="16"/>
  <c r="AC14" i="16"/>
  <c r="AC31" i="16" s="1"/>
  <c r="AE23" i="17"/>
  <c r="H23" i="17"/>
  <c r="H31" i="17" s="1"/>
  <c r="AH14" i="21"/>
  <c r="AH31" i="21" s="1"/>
  <c r="O31" i="21"/>
  <c r="N30" i="2"/>
  <c r="W33" i="11"/>
  <c r="D30" i="7"/>
  <c r="B23" i="5"/>
  <c r="AY26" i="8"/>
  <c r="Y23" i="11"/>
  <c r="AQ21" i="11"/>
  <c r="AW26" i="16"/>
  <c r="G26" i="17"/>
  <c r="E14" i="16"/>
  <c r="F12" i="16"/>
  <c r="K14" i="21"/>
  <c r="K31" i="21" s="1"/>
  <c r="U23" i="16"/>
  <c r="U31" i="16" s="1"/>
  <c r="L14" i="16"/>
  <c r="Y26" i="11"/>
  <c r="AP14" i="11"/>
  <c r="K22" i="12"/>
  <c r="BC14" i="8"/>
  <c r="BF14" i="8" s="1"/>
  <c r="AM30" i="16"/>
  <c r="AK30" i="17"/>
  <c r="G23" i="17"/>
  <c r="AR23" i="17"/>
  <c r="N14" i="16"/>
  <c r="N31" i="16" s="1"/>
  <c r="V14" i="17"/>
  <c r="V31" i="17" s="1"/>
  <c r="AV23" i="16"/>
  <c r="Y31" i="21"/>
  <c r="I26" i="17"/>
  <c r="AP28" i="11"/>
  <c r="AM26" i="16"/>
  <c r="AF26" i="17"/>
  <c r="AB30" i="16"/>
  <c r="AB33" i="16" s="1"/>
  <c r="BL20" i="16"/>
  <c r="AW23" i="16"/>
  <c r="AY14" i="16"/>
  <c r="AY31" i="16" s="1"/>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Y33" i="20"/>
  <c r="E26" i="20"/>
  <c r="AO33" i="20"/>
  <c r="J31" i="20"/>
  <c r="T17" i="20"/>
  <c r="S23" i="20"/>
  <c r="S31" i="20" s="1"/>
  <c r="AC33" i="20"/>
  <c r="AC31" i="20"/>
  <c r="AW31" i="21"/>
  <c r="AT31" i="20"/>
  <c r="K26" i="20"/>
  <c r="K30" i="20" s="1"/>
  <c r="AE33" i="20"/>
  <c r="AE31" i="20"/>
  <c r="W23" i="20"/>
  <c r="L31" i="19"/>
  <c r="J31" i="19"/>
  <c r="M31" i="20"/>
  <c r="AD23" i="20"/>
  <c r="AD33" i="20" s="1"/>
  <c r="AI23" i="20"/>
  <c r="AG31" i="20"/>
  <c r="F17" i="20"/>
  <c r="N31" i="21"/>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A31" i="20"/>
  <c r="AH31" i="19"/>
  <c r="AH23" i="20"/>
  <c r="AH31" i="20" s="1"/>
  <c r="AO33" i="21"/>
  <c r="AM31" i="20"/>
  <c r="BG23" i="19"/>
  <c r="I14" i="21"/>
  <c r="I31" i="21" s="1"/>
  <c r="EO31" i="19"/>
  <c r="C11" i="14"/>
  <c r="K11" i="14" s="1"/>
  <c r="I25" i="7"/>
  <c r="I25" i="12"/>
  <c r="M31" i="2"/>
  <c r="AB31" i="16"/>
  <c r="AA26" i="21"/>
  <c r="Z30" i="21"/>
  <c r="S14" i="21"/>
  <c r="S31" i="21" s="1"/>
  <c r="J30" i="2"/>
  <c r="AE23" i="11"/>
  <c r="AE31" i="11" s="1"/>
  <c r="AJ14" i="11"/>
  <c r="F23" i="14"/>
  <c r="W31" i="16"/>
  <c r="AP31" i="16"/>
  <c r="AO31" i="16"/>
  <c r="Y31" i="20"/>
  <c r="C26" i="14"/>
  <c r="BE21" i="8"/>
  <c r="I21" i="7" s="1"/>
  <c r="E23" i="14"/>
  <c r="C19" i="14"/>
  <c r="F14" i="14"/>
  <c r="D31" i="2"/>
  <c r="Z30" i="16"/>
  <c r="AA26" i="16"/>
  <c r="N23" i="11"/>
  <c r="Q23" i="11" s="1"/>
  <c r="BG33" i="16"/>
  <c r="J31" i="8"/>
  <c r="C9" i="14"/>
  <c r="F14" i="16"/>
  <c r="AQ9" i="11"/>
  <c r="F14" i="11"/>
  <c r="BC23" i="8"/>
  <c r="BD20" i="8"/>
  <c r="H20" i="7" s="1"/>
  <c r="BG20" i="8"/>
  <c r="AZ23" i="8"/>
  <c r="BE23" i="13"/>
  <c r="BB31" i="13"/>
  <c r="BE31" i="13" s="1"/>
  <c r="AQ17" i="17"/>
  <c r="T31" i="16"/>
  <c r="AW33" i="20"/>
  <c r="BT30" i="16"/>
  <c r="AX31" i="21"/>
  <c r="I26" i="2"/>
  <c r="I31" i="2" s="1"/>
  <c r="AG23" i="11"/>
  <c r="AG33" i="11" s="1"/>
  <c r="AK23" i="11"/>
  <c r="E14" i="14"/>
  <c r="K21" i="7"/>
  <c r="K21" i="12"/>
  <c r="O31" i="16"/>
  <c r="U14" i="17"/>
  <c r="G31" i="20"/>
  <c r="E31" i="2"/>
  <c r="AI31" i="11"/>
  <c r="BT14" i="16"/>
  <c r="BI23" i="16"/>
  <c r="D31" i="12"/>
  <c r="G33" i="20"/>
  <c r="I18" i="12"/>
  <c r="L30" i="20"/>
  <c r="I21" i="12"/>
  <c r="X23" i="20"/>
  <c r="W26" i="20"/>
  <c r="AS26" i="20"/>
  <c r="AY31" i="8"/>
  <c r="BT33" i="20"/>
  <c r="P21" i="11"/>
  <c r="Q21" i="11"/>
  <c r="F23" i="20"/>
  <c r="F33" i="20" s="1"/>
  <c r="AS17" i="20"/>
  <c r="AQ23" i="11"/>
  <c r="P9" i="11"/>
  <c r="Q29" i="11"/>
  <c r="P29" i="11"/>
  <c r="Q10" i="11"/>
  <c r="AO31" i="20"/>
  <c r="AQ31" i="20"/>
  <c r="AU31" i="21"/>
  <c r="AS31" i="21"/>
  <c r="AR31" i="20"/>
  <c r="D11" i="6"/>
  <c r="J11" i="12" s="1"/>
  <c r="E11" i="3"/>
  <c r="BC26" i="8"/>
  <c r="BF26" i="8" s="1"/>
  <c r="J26" i="12" s="1"/>
  <c r="Q12" i="11"/>
  <c r="D23" i="6"/>
  <c r="R16" i="14"/>
  <c r="BH17" i="16"/>
  <c r="AO27" i="17"/>
  <c r="AM18" i="11"/>
  <c r="BH17" i="11"/>
  <c r="BH23" i="11" s="1"/>
  <c r="BH13" i="11"/>
  <c r="BF18" i="11"/>
  <c r="BH11" i="11"/>
  <c r="BG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26" i="20"/>
  <c r="V17" i="20"/>
  <c r="U16" i="17"/>
  <c r="U23" i="17" s="1"/>
  <c r="AA13" i="16"/>
  <c r="AA19" i="16"/>
  <c r="X18" i="16"/>
  <c r="V28" i="16"/>
  <c r="R20" i="14"/>
  <c r="AA10" i="21"/>
  <c r="AN30" i="11"/>
  <c r="B31" i="5"/>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G31" i="11"/>
  <c r="AN31" i="17"/>
  <c r="H22" i="2"/>
  <c r="F22" i="2"/>
  <c r="J11" i="2"/>
  <c r="F11" i="2"/>
  <c r="S25" i="14"/>
  <c r="V25" i="14" s="1"/>
  <c r="C28" i="14"/>
  <c r="K28" i="14" s="1"/>
  <c r="AS26" i="11"/>
  <c r="BE17" i="8"/>
  <c r="I17" i="7" s="1"/>
  <c r="BB23" i="8"/>
  <c r="BG26" i="13"/>
  <c r="BD30" i="19"/>
  <c r="AK14" i="1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V22" i="14" s="1"/>
  <c r="BF19" i="13"/>
  <c r="BF23" i="16"/>
  <c r="BF33" i="16" s="1"/>
  <c r="C26" i="5"/>
  <c r="C31" i="5" s="1"/>
  <c r="BA30" i="8"/>
  <c r="BG28" i="8"/>
  <c r="BE20" i="8"/>
  <c r="K18" i="12"/>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Q31" i="16" s="1"/>
  <c r="AA23" i="17"/>
  <c r="AA31" i="17" s="1"/>
  <c r="AU14" i="16"/>
  <c r="AU23" i="16"/>
  <c r="BC23" i="16"/>
  <c r="BE23" i="16"/>
  <c r="BE31" i="16" s="1"/>
  <c r="AF26" i="16"/>
  <c r="AF31" i="16" s="1"/>
  <c r="AS26" i="16"/>
  <c r="AI26" i="17"/>
  <c r="AI31" i="17" s="1"/>
  <c r="BK30" i="16"/>
  <c r="BK31" i="16" s="1"/>
  <c r="AF30" i="17"/>
  <c r="AM23" i="16"/>
  <c r="AM31" i="16" s="1"/>
  <c r="G30" i="17"/>
  <c r="BO23" i="16"/>
  <c r="BO31" i="16" s="1"/>
  <c r="E23" i="11"/>
  <c r="AF30" i="11"/>
  <c r="AF31" i="11" s="1"/>
  <c r="I23" i="16"/>
  <c r="BJ23" i="16"/>
  <c r="N31" i="2"/>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U26" i="17"/>
  <c r="J26" i="16"/>
  <c r="U11" i="17"/>
  <c r="U19" i="17"/>
  <c r="W31" i="21"/>
  <c r="R26" i="17"/>
  <c r="R14" i="16"/>
  <c r="BL12" i="16"/>
  <c r="AR14" i="17"/>
  <c r="Y31" i="11"/>
  <c r="U18" i="17"/>
  <c r="U12" i="21"/>
  <c r="AL30" i="17"/>
  <c r="BL21" i="16"/>
  <c r="F12" i="17"/>
  <c r="AQ12" i="17" s="1"/>
  <c r="AI14" i="16"/>
  <c r="AI31" i="16" s="1"/>
  <c r="I23" i="17"/>
  <c r="L23" i="16"/>
  <c r="U17" i="17"/>
  <c r="X26" i="16"/>
  <c r="AX23" i="20"/>
  <c r="AX31" i="20" s="1"/>
  <c r="Y14" i="16"/>
  <c r="V18" i="11"/>
  <c r="O23" i="11"/>
  <c r="AS32" i="20"/>
  <c r="H14" i="14"/>
  <c r="AD14" i="14"/>
  <c r="Z14" i="14"/>
  <c r="M14" i="14"/>
  <c r="S14" i="14"/>
  <c r="V14" i="14"/>
  <c r="R14" i="14"/>
  <c r="Y14" i="14"/>
  <c r="AA14" i="14"/>
  <c r="W14" i="14"/>
  <c r="P14" i="14"/>
  <c r="Q14" i="14"/>
  <c r="X14" i="14"/>
  <c r="AC14" i="14"/>
  <c r="AB14" i="14"/>
  <c r="V17" i="11"/>
  <c r="U23" i="11"/>
  <c r="AA23" i="14"/>
  <c r="V23" i="14"/>
  <c r="S23" i="14"/>
  <c r="W23" i="14"/>
  <c r="H23" i="14"/>
  <c r="Z23" i="14"/>
  <c r="X23" i="14"/>
  <c r="AD23" i="14"/>
  <c r="Q23" i="14"/>
  <c r="P23" i="14"/>
  <c r="Y23" i="14"/>
  <c r="AC23" i="14"/>
  <c r="AB23" i="14"/>
  <c r="R23" i="14"/>
  <c r="M23" i="14"/>
  <c r="U33" i="11"/>
  <c r="U14" i="11"/>
  <c r="V14" i="11" s="1"/>
  <c r="U31" i="11"/>
  <c r="V31" i="11" s="1"/>
  <c r="V10" i="11"/>
  <c r="V12" i="11"/>
  <c r="W26" i="14"/>
  <c r="M26" i="14"/>
  <c r="AA26" i="14"/>
  <c r="S26" i="14"/>
  <c r="Z26" i="14"/>
  <c r="R26" i="14"/>
  <c r="V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L32" i="20"/>
  <c r="AC32" i="20"/>
  <c r="AO32" i="20"/>
  <c r="E31" i="14" l="1"/>
  <c r="D31" i="14"/>
  <c r="D31" i="5"/>
  <c r="G32" i="11"/>
  <c r="AJ33" i="11"/>
  <c r="V26" i="16"/>
  <c r="E33" i="12"/>
  <c r="BJ31" i="11"/>
  <c r="BE23" i="8"/>
  <c r="I23" i="7" s="1"/>
  <c r="AC31" i="11"/>
  <c r="AR31" i="16"/>
  <c r="AX33" i="21"/>
  <c r="AK31" i="11"/>
  <c r="Z31" i="11"/>
  <c r="E31" i="21"/>
  <c r="H32" i="21"/>
  <c r="L32" i="21"/>
  <c r="AQ31" i="21" l="1"/>
  <c r="AJ33" i="17"/>
  <c r="AK31" i="17"/>
  <c r="F23" i="16"/>
  <c r="F33" i="16" s="1"/>
  <c r="BA31" i="16"/>
  <c r="BA33" i="16"/>
  <c r="BQ30" i="16"/>
  <c r="AZ31" i="16"/>
  <c r="K17" i="12"/>
  <c r="F31" i="14"/>
  <c r="AV31" i="11"/>
  <c r="P28" i="11"/>
  <c r="BH14" i="11"/>
  <c r="AG31" i="11"/>
  <c r="L32" i="11"/>
  <c r="BG32" i="16"/>
  <c r="AK32" i="11"/>
  <c r="AS32" i="21"/>
  <c r="K32" i="16"/>
  <c r="Z32" i="17"/>
  <c r="AL32" i="16"/>
  <c r="X32" i="21"/>
  <c r="AV32" i="16"/>
  <c r="I32" i="11"/>
  <c r="AB32" i="11"/>
  <c r="H32" i="16"/>
  <c r="U32" i="20"/>
  <c r="F32" i="17"/>
  <c r="AT32" i="16"/>
  <c r="AM32" i="17"/>
  <c r="J32" i="11"/>
  <c r="AV32" i="11"/>
  <c r="AU32" i="16"/>
  <c r="AU32" i="17"/>
  <c r="O32" i="17"/>
  <c r="AC32" i="16"/>
  <c r="H32" i="11"/>
  <c r="AH32" i="11"/>
  <c r="AE32" i="11"/>
  <c r="R32" i="11"/>
  <c r="AA32" i="11"/>
  <c r="J32" i="17"/>
  <c r="L32" i="17"/>
  <c r="AW32" i="21"/>
  <c r="T32" i="11"/>
  <c r="N32" i="17"/>
  <c r="AN32" i="21"/>
  <c r="S32" i="17"/>
  <c r="S32" i="21"/>
  <c r="AQ32" i="16"/>
  <c r="AZ32" i="16"/>
  <c r="BE32" i="16"/>
  <c r="AJ32" i="21"/>
  <c r="AI32" i="11"/>
  <c r="R32" i="21"/>
  <c r="P32" i="11"/>
  <c r="X32" i="11"/>
  <c r="AH32" i="17"/>
  <c r="Z32" i="21"/>
  <c r="Z32" i="16"/>
  <c r="I32" i="16"/>
  <c r="W32" i="17"/>
  <c r="AO32" i="21"/>
  <c r="I32" i="21"/>
  <c r="E32" i="17"/>
  <c r="M32" i="21"/>
  <c r="AD32" i="21"/>
  <c r="M32" i="17"/>
  <c r="K32" i="21"/>
  <c r="AR32" i="21"/>
  <c r="J32" i="21"/>
  <c r="AR32" i="20"/>
  <c r="O32" i="16"/>
  <c r="W32" i="16"/>
  <c r="V32" i="11"/>
  <c r="AP32" i="21"/>
  <c r="AN32" i="17"/>
  <c r="N32" i="21"/>
  <c r="I32" i="12"/>
  <c r="AD32" i="16"/>
  <c r="U32" i="16"/>
  <c r="AI32" i="17"/>
  <c r="AJ32" i="16"/>
  <c r="E32" i="16"/>
  <c r="K32" i="17"/>
  <c r="BB32" i="21"/>
  <c r="AH32" i="16"/>
  <c r="AC32" i="21"/>
  <c r="BP32" i="16"/>
  <c r="AE32" i="17"/>
  <c r="BN32" i="16"/>
  <c r="AV32" i="21"/>
  <c r="V32" i="21"/>
  <c r="P32" i="17"/>
  <c r="AE32" i="21"/>
  <c r="N32" i="16"/>
  <c r="D32" i="12"/>
  <c r="AG32" i="21"/>
  <c r="AY32" i="11"/>
  <c r="AK32" i="17"/>
  <c r="AR32" i="11"/>
  <c r="AU32" i="21"/>
  <c r="BI32" i="16"/>
  <c r="AX32" i="21"/>
  <c r="Y32" i="16"/>
  <c r="P32" i="16"/>
  <c r="BH32" i="16"/>
  <c r="AS32" i="17"/>
  <c r="Q32" i="21"/>
  <c r="AL32" i="11"/>
  <c r="AD32" i="17"/>
  <c r="AF32" i="11"/>
  <c r="AN32" i="16"/>
  <c r="E32" i="21"/>
  <c r="BO32" i="16"/>
  <c r="AC32" i="17"/>
  <c r="AL32" i="17"/>
  <c r="AD32" i="11"/>
  <c r="F32" i="12"/>
  <c r="Z32" i="11"/>
  <c r="AN32" i="11"/>
  <c r="S32" i="16"/>
  <c r="AS32" i="11"/>
  <c r="AF32" i="21"/>
  <c r="F32" i="16"/>
  <c r="M32" i="11"/>
  <c r="BB32" i="16"/>
  <c r="F32" i="11"/>
  <c r="AP32" i="16"/>
  <c r="AC32" i="11"/>
  <c r="AM32" i="11"/>
  <c r="AR32" i="17"/>
  <c r="AA32" i="17"/>
  <c r="U32" i="17"/>
  <c r="V32" i="20"/>
  <c r="V32" i="17"/>
  <c r="X32" i="17"/>
  <c r="BQ32" i="16"/>
  <c r="K32" i="12"/>
  <c r="R32" i="16"/>
  <c r="Y32" i="17"/>
  <c r="BC32" i="21"/>
  <c r="AA32" i="16"/>
  <c r="O32" i="21"/>
  <c r="U32" i="21"/>
  <c r="AF32" i="16"/>
  <c r="AK32" i="16"/>
  <c r="AL32" i="21"/>
  <c r="N32" i="11"/>
  <c r="AJ32" i="17"/>
  <c r="L32" i="16"/>
  <c r="H32" i="17"/>
  <c r="AB32" i="21"/>
  <c r="AG32" i="11"/>
  <c r="BF32" i="16"/>
  <c r="T32" i="17"/>
  <c r="S32" i="11"/>
  <c r="AY32" i="16"/>
  <c r="AM32" i="16"/>
  <c r="AO32" i="11"/>
  <c r="E32" i="11"/>
  <c r="J32" i="16"/>
  <c r="BA32" i="16"/>
  <c r="AT32" i="20"/>
  <c r="BM32" i="16"/>
  <c r="Y32" i="21"/>
  <c r="AE32" i="16"/>
  <c r="AX32" i="16"/>
  <c r="E32" i="12"/>
  <c r="T32" i="16"/>
  <c r="Q32" i="16"/>
  <c r="AI32" i="16"/>
  <c r="AT32" i="17"/>
  <c r="AR32" i="16"/>
  <c r="BD32" i="16"/>
  <c r="AO32" i="16"/>
  <c r="X32" i="16"/>
  <c r="AA32" i="21"/>
  <c r="G32" i="12"/>
  <c r="AI32" i="21"/>
  <c r="AT32" i="11"/>
  <c r="AS32" i="16"/>
  <c r="BJ32" i="16"/>
  <c r="AU32" i="11"/>
  <c r="O32" i="11"/>
  <c r="I32" i="17"/>
  <c r="AV32" i="17"/>
  <c r="W32" i="11"/>
  <c r="AB32" i="17"/>
  <c r="J32" i="12"/>
  <c r="AJ32" i="11"/>
  <c r="Y32" i="11"/>
  <c r="V32" i="16"/>
  <c r="AB32" i="16"/>
  <c r="AX32" i="11"/>
  <c r="P32" i="21"/>
  <c r="BD32" i="21"/>
  <c r="Q32" i="17"/>
  <c r="H32" i="12"/>
  <c r="Q32" i="11"/>
  <c r="AK32" i="21"/>
  <c r="AW32" i="16"/>
  <c r="AG32" i="17"/>
  <c r="AG32" i="16"/>
  <c r="F32" i="21"/>
  <c r="AO32" i="17"/>
  <c r="BC32" i="16"/>
  <c r="AM32" i="21"/>
  <c r="AP32" i="17"/>
  <c r="M32" i="16"/>
  <c r="R32" i="17"/>
  <c r="K32" i="11"/>
  <c r="AF32" i="17"/>
  <c r="BK32" i="16"/>
  <c r="AH32" i="21"/>
  <c r="AV33" i="11" l="1"/>
  <c r="BQ31" i="16"/>
  <c r="AT32" i="21"/>
  <c r="BL32" i="16"/>
  <c r="AQ32" i="11"/>
  <c r="AQ32" i="17"/>
  <c r="AP32" i="11"/>
  <c r="AX31" i="11"/>
  <c r="H30" i="2"/>
  <c r="AL30" i="11"/>
  <c r="AL33" i="11" s="1"/>
  <c r="G31" i="2"/>
  <c r="C31" i="6" s="1"/>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G31" i="3" s="1"/>
  <c r="I17" i="12"/>
  <c r="C30" i="14"/>
  <c r="E30" i="6"/>
  <c r="E31"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F31" i="16"/>
  <c r="K13" i="12"/>
  <c r="AU31" i="16"/>
  <c r="AU33" i="16"/>
  <c r="AL31" i="17"/>
  <c r="AL33" i="17"/>
  <c r="AT33" i="16"/>
  <c r="AT31" i="16"/>
  <c r="P10" i="11"/>
  <c r="BL14" i="11"/>
  <c r="AR31" i="11"/>
  <c r="AV31" i="21"/>
  <c r="AR31" i="17"/>
  <c r="W30" i="20"/>
  <c r="X26" i="20"/>
  <c r="BF31" i="16"/>
  <c r="G32" i="16"/>
  <c r="AM31" i="11"/>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23" i="8"/>
  <c r="H23" i="7" s="1"/>
  <c r="V23" i="16"/>
  <c r="Q11" i="11"/>
  <c r="P11" i="11"/>
  <c r="P19" i="11"/>
  <c r="BL23" i="11"/>
  <c r="BL31" i="11" s="1"/>
  <c r="V30" i="16"/>
  <c r="BH33" i="16"/>
  <c r="T26" i="11"/>
  <c r="S30" i="11"/>
  <c r="AT31" i="11"/>
  <c r="AS23" i="20"/>
  <c r="AQ23" i="17"/>
  <c r="K20" i="7"/>
  <c r="K20" i="12"/>
  <c r="AJ31" i="11"/>
  <c r="AW31" i="20"/>
  <c r="BI14" i="11"/>
  <c r="BI31" i="11" s="1"/>
  <c r="AS33" i="16"/>
  <c r="AS31" i="16"/>
  <c r="BP30" i="16"/>
  <c r="BD30" i="8"/>
  <c r="H30" i="7" s="1"/>
  <c r="BE30" i="8"/>
  <c r="I30" i="7" s="1"/>
  <c r="K26" i="12"/>
  <c r="BD31" i="19"/>
  <c r="BF31" i="19"/>
  <c r="P22" i="11"/>
  <c r="Q22" i="11"/>
  <c r="Q19" i="11"/>
  <c r="K31" i="11"/>
  <c r="E26" i="11"/>
  <c r="V14" i="16"/>
  <c r="BF30" i="8"/>
  <c r="J30" i="7" s="1"/>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R31" i="16"/>
  <c r="BM31" i="16" s="1"/>
  <c r="J31" i="16"/>
  <c r="J33" i="16"/>
  <c r="AA14" i="16"/>
  <c r="AT14" i="21"/>
  <c r="AT33" i="21" s="1"/>
  <c r="AR33" i="21" s="1"/>
  <c r="S23" i="17"/>
  <c r="S31" i="17" s="1"/>
  <c r="AS30" i="11"/>
  <c r="BG30" i="8"/>
  <c r="K30" i="7" s="1"/>
  <c r="B31" i="6"/>
  <c r="BC31" i="8"/>
  <c r="K9" i="14"/>
  <c r="C23" i="14"/>
  <c r="K19" i="14"/>
  <c r="Y31" i="14"/>
  <c r="AB31" i="14"/>
  <c r="R31" i="14"/>
  <c r="AC31" i="14"/>
  <c r="V31" i="14"/>
  <c r="X31" i="14"/>
  <c r="S31" i="14"/>
  <c r="M31" i="14"/>
  <c r="Z31" i="14"/>
  <c r="W31" i="14"/>
  <c r="AD31" i="14"/>
  <c r="V23" i="11"/>
  <c r="U26" i="11"/>
  <c r="AA31" i="14"/>
  <c r="H31" i="14"/>
  <c r="U32" i="11"/>
  <c r="F31" i="2" l="1"/>
  <c r="AO31" i="11"/>
  <c r="AL31" i="11"/>
  <c r="V31" i="16"/>
  <c r="BF31" i="11"/>
  <c r="BT31" i="16"/>
  <c r="BT33" i="16"/>
  <c r="BG31" i="8"/>
  <c r="K31" i="7" s="1"/>
  <c r="AS33" i="20"/>
  <c r="AR33" i="20" s="1"/>
  <c r="F31" i="17"/>
  <c r="AQ31" i="17" s="1"/>
  <c r="BD31" i="8"/>
  <c r="H31" i="7" s="1"/>
  <c r="H31" i="2"/>
  <c r="I31" i="3"/>
  <c r="C31" i="14"/>
  <c r="J30" i="12"/>
  <c r="X26" i="17"/>
  <c r="W30" i="17"/>
  <c r="BF31" i="8"/>
  <c r="Z31" i="21"/>
  <c r="M31" i="16"/>
  <c r="AM33" i="11"/>
  <c r="AP26" i="11"/>
  <c r="AU30" i="11"/>
  <c r="U31" i="20"/>
  <c r="K31" i="20"/>
  <c r="AS31" i="20" s="1"/>
  <c r="BR33" i="16"/>
  <c r="BR31" i="16"/>
  <c r="AQ31" i="11"/>
  <c r="E31" i="3"/>
  <c r="AN31" i="11"/>
  <c r="D31" i="6"/>
  <c r="J31" i="21"/>
  <c r="AT31" i="21" s="1"/>
  <c r="BE31" i="8"/>
  <c r="I31" i="12" s="1"/>
  <c r="X30" i="20"/>
  <c r="J23" i="12"/>
  <c r="K30" i="12"/>
  <c r="BL26" i="16"/>
  <c r="K14" i="7"/>
  <c r="K14" i="12"/>
  <c r="N31" i="11"/>
  <c r="AA33" i="21"/>
  <c r="Z33" i="21"/>
  <c r="E30" i="11"/>
  <c r="T30" i="11"/>
  <c r="K31" i="12"/>
  <c r="I30" i="12"/>
  <c r="I33" i="12" s="1"/>
  <c r="S31" i="11"/>
  <c r="T31" i="11" s="1"/>
  <c r="K23" i="7"/>
  <c r="K23" i="12"/>
  <c r="E33" i="16"/>
  <c r="V26" i="11"/>
  <c r="U30" i="11"/>
  <c r="W33" i="20" l="1"/>
  <c r="I31" i="7"/>
  <c r="X31" i="20"/>
  <c r="W31" i="20"/>
  <c r="E31" i="20"/>
  <c r="BP33" i="16"/>
  <c r="T33" i="11"/>
  <c r="BP31" i="16"/>
  <c r="BL33" i="16"/>
  <c r="BJ33" i="16" s="1"/>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<sst xmlns="http://schemas.openxmlformats.org/spreadsheetml/2006/main" count="2628" uniqueCount="1159">
  <si>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</si>
  <si>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</si>
  <si>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</si>
  <si>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</si>
  <si>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</si>
  <si>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</si>
  <si>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</si>
  <si>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</si>
  <si>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</si>
  <si>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</si>
  <si>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</si>
  <si>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</si>
  <si>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</si>
  <si>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</si>
  <si>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</si>
  <si>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</si>
  <si>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</si>
  <si>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</si>
  <si>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</si>
  <si>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</si>
  <si>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</si>
  <si>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</si>
  <si>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</si>
  <si>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</si>
  <si>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</si>
  <si>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</si>
  <si>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</si>
  <si>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</si>
  <si>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</si>
  <si>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</si>
  <si>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</si>
  <si>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</si>
  <si>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</si>
  <si>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</si>
  <si>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</si>
  <si>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</si>
  <si>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</si>
  <si>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</si>
  <si>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</si>
  <si>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</si>
  <si>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</si>
  <si>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</si>
  <si>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</si>
  <si>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</si>
  <si>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</si>
  <si>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</si>
  <si>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</si>
  <si>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</si>
  <si>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</si>
  <si>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</si>
  <si>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</si>
  <si>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</si>
  <si>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</si>
  <si>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</si>
  <si>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</si>
  <si>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</si>
  <si>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</si>
  <si>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</si>
  <si>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</si>
  <si>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</si>
  <si>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</si>
  <si>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</si>
  <si>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</si>
  <si>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</si>
  <si>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</si>
  <si>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</si>
  <si>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</si>
  <si>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</si>
  <si>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</si>
  <si>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</si>
  <si>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</si>
  <si>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</si>
  <si>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</si>
  <si>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</si>
  <si>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</si>
  <si>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</si>
  <si>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</si>
  <si>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</si>
  <si>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</si>
  <si>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</si>
  <si>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</si>
  <si>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</si>
  <si>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</si>
  <si>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</si>
  <si>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</si>
  <si>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</si>
  <si>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</si>
  <si>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</si>
  <si>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</si>
  <si>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</si>
  <si>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</si>
  <si>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</si>
  <si>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</si>
  <si>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</si>
  <si>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</si>
  <si>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</si>
  <si>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</si>
  <si>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</si>
  <si>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</si>
  <si>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</si>
  <si>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</si>
  <si>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</si>
  <si>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</si>
  <si>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</si>
  <si>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</si>
  <si>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</si>
  <si>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</si>
  <si>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</si>
  <si>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</si>
  <si>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</si>
  <si>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</si>
  <si>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</si>
  <si>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</si>
  <si>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</si>
  <si>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</si>
  <si>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</si>
  <si>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</si>
  <si>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</si>
  <si>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</si>
  <si>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</si>
  <si>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</si>
  <si>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</si>
  <si>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</si>
  <si>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</si>
  <si>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</si>
  <si>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</si>
  <si>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</si>
  <si>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</si>
  <si>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</si>
  <si>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</si>
  <si>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</si>
  <si>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</si>
  <si>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</si>
  <si>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</si>
  <si>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</si>
  <si>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</si>
  <si>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EJECU243+EJECU246</t>
  </si>
  <si>
    <t>EJECU543+EJECU446</t>
  </si>
  <si>
    <t>EJECU643+EJECU546</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</si>
  <si>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</si>
  <si>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</si>
  <si>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</si>
  <si>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</si>
  <si>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</si>
  <si>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</si>
  <si>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</si>
  <si>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</si>
  <si>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</si>
  <si>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</si>
  <si>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</si>
  <si>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</si>
  <si>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</si>
  <si>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</si>
  <si>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</si>
  <si>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</si>
  <si>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</si>
  <si>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</si>
  <si>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</si>
  <si>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</si>
  <si>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</si>
  <si>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</si>
  <si>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</si>
  <si>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</si>
  <si>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</si>
  <si>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</si>
  <si>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</si>
  <si>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</si>
  <si>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</si>
  <si>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</si>
  <si>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</si>
  <si>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</si>
  <si>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</si>
  <si>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</si>
  <si>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</si>
  <si>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</si>
  <si>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</si>
  <si>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</si>
  <si>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</si>
  <si>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</si>
  <si>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</si>
  <si>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</si>
  <si>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</si>
  <si>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</si>
  <si>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</si>
  <si>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</si>
  <si>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</si>
  <si>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</si>
  <si>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</si>
  <si>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</si>
  <si>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</si>
  <si>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</si>
  <si>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</si>
  <si>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</si>
  <si>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</si>
  <si>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</si>
  <si>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</si>
  <si>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</si>
  <si>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</si>
  <si>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</si>
  <si>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</si>
  <si>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</si>
  <si>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</si>
  <si>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</si>
  <si>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</si>
  <si>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</si>
  <si>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</si>
  <si>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</si>
  <si>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</si>
  <si>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</si>
  <si>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</si>
  <si>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</si>
  <si>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</si>
  <si>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</si>
  <si>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</si>
  <si>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</si>
  <si>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</si>
  <si>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</si>
  <si>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</si>
  <si>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</si>
  <si>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</si>
  <si>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</si>
  <si>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</si>
  <si>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</si>
  <si>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</si>
  <si>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</si>
  <si>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</si>
  <si>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</si>
  <si>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</si>
  <si>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</si>
  <si>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</si>
  <si>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</si>
  <si>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</si>
  <si>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</si>
  <si>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</si>
  <si>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</si>
  <si>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</si>
  <si>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</si>
  <si>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</si>
  <si>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</si>
  <si>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</si>
  <si>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</si>
  <si>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</si>
  <si>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</si>
  <si>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</si>
  <si>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</si>
  <si>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</si>
  <si>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</si>
  <si>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</si>
  <si>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</si>
  <si>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</si>
  <si>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</si>
  <si>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</si>
  <si>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</si>
  <si>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</si>
  <si>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</si>
  <si>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</si>
  <si>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</si>
  <si>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</si>
  <si>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</si>
  <si>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</si>
  <si>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</si>
  <si>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</si>
  <si>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</si>
  <si>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</si>
  <si>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</si>
  <si>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</si>
  <si>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</si>
  <si>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</si>
  <si>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</si>
  <si>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</si>
  <si>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</si>
  <si>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</si>
  <si>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</si>
  <si>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</si>
  <si>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</si>
  <si>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</si>
  <si>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</si>
  <si>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</si>
  <si>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</si>
  <si>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</si>
  <si>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</si>
  <si>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</si>
  <si>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</si>
  <si>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</si>
  <si>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</si>
  <si>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</si>
  <si>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</si>
  <si>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</si>
  <si>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</si>
  <si>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</si>
  <si>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</si>
  <si>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</si>
  <si>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</si>
  <si>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</si>
  <si>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</si>
  <si>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</si>
  <si>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</si>
  <si>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</si>
  <si>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</si>
  <si>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</si>
  <si>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</si>
  <si>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</si>
  <si>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</si>
  <si>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</si>
  <si>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</si>
  <si>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</si>
  <si>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</si>
  <si>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</si>
  <si>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</si>
  <si>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</si>
  <si>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</si>
  <si>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</si>
  <si>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</si>
  <si>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</si>
  <si>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</si>
  <si>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</si>
  <si>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</si>
  <si>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</si>
  <si>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</si>
  <si>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</si>
  <si>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</si>
  <si>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</si>
  <si>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</si>
  <si>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</si>
  <si>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</si>
  <si>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</si>
  <si>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</si>
  <si>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</si>
  <si>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</si>
  <si>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</si>
  <si>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</si>
  <si>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</si>
  <si>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</si>
  <si>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</si>
  <si>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</si>
  <si>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</si>
  <si>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</si>
  <si>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</si>
  <si>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</si>
  <si>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</si>
  <si>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</si>
  <si>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</si>
  <si>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</si>
  <si>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</si>
  <si>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</si>
  <si>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</si>
  <si>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</si>
  <si>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</si>
  <si>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</si>
  <si>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</si>
  <si>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</si>
  <si>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</si>
  <si>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</si>
  <si>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</si>
  <si>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</si>
  <si>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</si>
  <si>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</si>
  <si>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</si>
  <si>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</si>
  <si>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</si>
  <si>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</si>
  <si>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</si>
  <si>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</si>
  <si>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</si>
  <si>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</si>
  <si>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</si>
  <si>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</si>
  <si>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</si>
  <si>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</si>
  <si>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</si>
  <si>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</si>
  <si>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</si>
  <si>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</si>
  <si>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</si>
  <si>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</si>
  <si>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</si>
  <si>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</si>
  <si>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</si>
  <si>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</si>
  <si>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</si>
  <si>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</si>
  <si>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</si>
  <si>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</si>
  <si>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</si>
  <si>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</si>
  <si>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</si>
  <si>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</si>
  <si>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</si>
  <si>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</si>
  <si>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</si>
  <si>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</si>
  <si>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</si>
  <si>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</si>
  <si>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</si>
  <si>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</si>
  <si>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</si>
  <si>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</si>
  <si>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</si>
  <si>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</si>
  <si>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</si>
  <si>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</si>
  <si>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</si>
  <si>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</si>
  <si>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</si>
  <si>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</si>
  <si>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</si>
  <si>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</si>
  <si>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</si>
  <si>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</si>
  <si>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</si>
  <si>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</si>
  <si>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</si>
  <si>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</si>
  <si>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</si>
  <si>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</si>
  <si>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</si>
  <si>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</si>
  <si>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</si>
  <si>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</si>
  <si>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</si>
  <si>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</si>
  <si>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</si>
  <si>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</si>
  <si>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</si>
  <si>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</si>
  <si>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</si>
  <si>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</si>
  <si>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</si>
  <si>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</si>
  <si>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</si>
  <si>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</si>
  <si>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</si>
  <si>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</si>
  <si>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</si>
  <si>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</si>
  <si>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</si>
  <si>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</si>
  <si>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</si>
  <si>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</si>
  <si>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</si>
  <si>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</si>
  <si>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</si>
  <si>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</si>
  <si>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</si>
  <si>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</si>
  <si>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</si>
  <si>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</si>
  <si>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</si>
  <si>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</si>
  <si>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</si>
  <si>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</si>
  <si>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</si>
  <si>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</si>
  <si>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</si>
  <si>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</si>
  <si>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</si>
  <si>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</si>
  <si>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</si>
  <si>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</si>
  <si>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</si>
  <si>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</si>
  <si>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</si>
  <si>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</si>
  <si>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</si>
  <si>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</si>
  <si>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</si>
  <si>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</si>
  <si>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</si>
  <si>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</si>
  <si>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</si>
  <si>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</si>
  <si>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</si>
  <si>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</si>
  <si>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</si>
  <si>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</si>
  <si>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</si>
  <si>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</si>
  <si>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</si>
  <si>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</si>
  <si>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</si>
  <si>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</si>
  <si>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</si>
  <si>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</si>
  <si>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</si>
  <si>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</si>
  <si>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</si>
  <si>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</si>
  <si>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</si>
  <si>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</si>
  <si>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</si>
  <si>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</si>
  <si>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</si>
  <si>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</si>
  <si>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</si>
  <si>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</si>
  <si>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</si>
  <si>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</si>
  <si>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</si>
  <si>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</si>
  <si>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</si>
  <si>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</si>
  <si>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</si>
  <si>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</si>
  <si>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</si>
  <si>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</si>
  <si>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</si>
  <si>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</si>
  <si>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</si>
  <si>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</si>
  <si>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</si>
  <si>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</si>
  <si>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</si>
  <si>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</si>
  <si>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</si>
  <si>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</si>
  <si>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</si>
  <si>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</si>
  <si>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</si>
  <si>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</si>
  <si>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</si>
  <si>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</si>
  <si>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</si>
  <si>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</si>
  <si>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</si>
  <si>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</si>
  <si>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</si>
  <si>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</si>
  <si>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</si>
  <si>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</si>
  <si>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</si>
  <si>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</si>
  <si>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</si>
  <si>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</si>
  <si>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</si>
  <si>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</si>
  <si>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</si>
  <si>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</si>
  <si>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</si>
  <si>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</si>
  <si>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</si>
  <si>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</si>
  <si>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</si>
  <si>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</si>
  <si>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</si>
  <si>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</si>
  <si>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</si>
  <si>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</si>
  <si>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</si>
  <si>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</si>
  <si>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</si>
  <si>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</si>
  <si>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</si>
  <si>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</si>
  <si>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</si>
  <si>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</si>
  <si>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</si>
  <si>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</si>
  <si>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</si>
  <si>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</si>
  <si>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</si>
  <si>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</si>
  <si>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</si>
  <si>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</si>
  <si>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</si>
  <si>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</si>
  <si>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</si>
  <si>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</si>
  <si>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</si>
  <si>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</si>
  <si>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</si>
  <si>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</si>
  <si>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</si>
  <si>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</si>
  <si>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</si>
  <si>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</si>
  <si>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</si>
  <si>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</si>
  <si>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</si>
  <si>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</si>
  <si>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</si>
  <si>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</si>
  <si>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</si>
  <si>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</si>
  <si>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</si>
  <si>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</si>
  <si>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</si>
  <si>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</si>
  <si>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</si>
  <si>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</si>
  <si>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</si>
  <si>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</si>
  <si>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</si>
  <si>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</si>
  <si>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</si>
  <si>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</si>
  <si>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</si>
  <si>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</si>
  <si>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</si>
  <si>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</si>
  <si>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</si>
  <si>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</si>
  <si>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</si>
  <si>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</si>
  <si>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</si>
  <si>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</si>
  <si>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</si>
  <si>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</si>
  <si>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</si>
  <si>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</si>
  <si>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</si>
  <si>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</si>
  <si>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</si>
  <si>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</si>
  <si>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</si>
  <si>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</si>
  <si>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</si>
  <si>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</si>
  <si>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</si>
  <si>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</si>
  <si>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</si>
  <si>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</si>
  <si>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</si>
  <si>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</si>
  <si>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</si>
  <si>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</si>
  <si>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</si>
  <si>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</si>
  <si>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</si>
  <si>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</si>
  <si>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</si>
  <si>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</si>
  <si>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</si>
  <si>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</si>
  <si>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</si>
  <si>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</si>
  <si>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</si>
  <si>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</si>
  <si>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</si>
  <si>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</si>
  <si>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</si>
  <si>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</si>
  <si>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</si>
  <si>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</si>
  <si>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</si>
  <si>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</si>
  <si>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</si>
  <si>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</si>
  <si>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</si>
  <si>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</si>
  <si>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</si>
  <si>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</si>
  <si>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</si>
  <si>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</si>
  <si>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</si>
  <si>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</si>
  <si>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</si>
  <si>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SENPT313+SENFT313+SENCOV13+SENCON13+NVL(PCNCO792,0)+NVL(PCINCO92,0)+NVL(PCSINV92,0)+NVL(PCIJO792,0)+NVL(PCIJV792,0)+NVL(PESCA792,0)+NVL(ORDSO792,0)+NVL(MDYMC792,0)</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</si>
  <si>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</si>
  <si>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</si>
  <si>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</si>
  <si>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</si>
  <si>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</si>
  <si>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</si>
  <si>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</si>
  <si>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</si>
  <si>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</si>
  <si>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</si>
  <si>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</si>
  <si>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</si>
  <si>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</si>
  <si>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</si>
  <si>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</si>
  <si>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</si>
  <si>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</si>
  <si>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</si>
  <si>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</si>
  <si>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</si>
  <si>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</si>
  <si>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</si>
  <si>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</si>
  <si>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</si>
  <si>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</si>
  <si>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</si>
  <si>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</si>
  <si>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</si>
  <si>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</si>
  <si>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</si>
  <si>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</si>
  <si>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</si>
  <si>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</si>
  <si>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</si>
  <si>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</si>
  <si>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</si>
  <si>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</si>
  <si>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</si>
  <si>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</si>
  <si>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</si>
  <si>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</si>
  <si>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</si>
  <si>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</si>
  <si>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</si>
  <si>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</si>
  <si>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</si>
  <si>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</si>
  <si>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</si>
  <si>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</si>
  <si>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</si>
  <si>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</si>
  <si>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</si>
  <si>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</si>
  <si>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</si>
  <si>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</si>
  <si>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</si>
  <si>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</si>
  <si>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</si>
  <si>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</si>
  <si>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</si>
  <si>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</si>
  <si>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</si>
  <si>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</si>
  <si>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</si>
  <si>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</si>
  <si>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</si>
  <si>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</si>
  <si>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</si>
  <si>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</si>
  <si>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</si>
  <si>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</si>
  <si>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</si>
  <si>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</si>
  <si>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</si>
  <si>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</si>
  <si>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</si>
  <si>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</si>
  <si>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</si>
  <si>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</si>
  <si>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</si>
  <si>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</si>
  <si>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</si>
  <si>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</si>
  <si>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</si>
  <si>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</si>
  <si>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</si>
  <si>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</si>
  <si>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</si>
  <si>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</si>
  <si>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</si>
  <si>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</si>
  <si>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</si>
  <si>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</si>
  <si>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</si>
  <si>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</si>
  <si>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</si>
  <si>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</si>
  <si>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</si>
  <si>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</si>
  <si>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</si>
  <si>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</si>
  <si>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</si>
  <si>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</si>
  <si>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</si>
  <si>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</si>
  <si>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</si>
  <si>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</si>
  <si>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</si>
  <si>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</si>
  <si>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</si>
  <si>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</si>
  <si>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</si>
  <si>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</si>
  <si>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</si>
  <si>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</si>
  <si>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</si>
  <si>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</si>
  <si>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</si>
  <si>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</si>
  <si>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</si>
  <si>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</si>
  <si>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</si>
  <si>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</si>
  <si>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</si>
  <si>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</si>
  <si>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</si>
  <si>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</si>
  <si>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</si>
  <si>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</si>
  <si>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</si>
  <si>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</si>
  <si>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</si>
  <si>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</si>
  <si>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</si>
  <si>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</si>
  <si>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</si>
  <si>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</si>
  <si>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</si>
  <si>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</si>
  <si>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</si>
  <si>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</si>
  <si>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</si>
  <si>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</si>
  <si>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</si>
  <si>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</si>
  <si>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</si>
  <si>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</si>
  <si>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</si>
  <si>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</si>
  <si>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</si>
  <si>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</si>
  <si>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</si>
  <si>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</si>
  <si>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</si>
  <si>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</si>
  <si>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</si>
  <si>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</si>
  <si>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</si>
  <si>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</si>
  <si>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</si>
  <si>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</si>
  <si>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</si>
  <si>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</si>
  <si>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</si>
  <si>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</si>
  <si>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</si>
  <si>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</si>
  <si>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</si>
  <si>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</si>
  <si>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</si>
  <si>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</si>
  <si>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</si>
  <si>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</si>
  <si>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</si>
  <si>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</si>
  <si>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</si>
  <si>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</si>
  <si>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</si>
  <si>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</si>
  <si>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</si>
  <si>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</si>
  <si>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</si>
  <si>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</si>
  <si>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</si>
  <si>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</si>
  <si>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</si>
  <si>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</si>
  <si>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</si>
  <si>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</si>
  <si>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</si>
  <si>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</si>
  <si>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</si>
  <si>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</si>
  <si>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</si>
  <si>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</si>
  <si>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</si>
  <si>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</si>
  <si>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</si>
  <si>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</si>
  <si>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</si>
  <si>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</si>
  <si>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</si>
  <si>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</si>
  <si>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</si>
  <si>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</si>
  <si>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</si>
  <si>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</si>
  <si>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</si>
  <si>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</si>
  <si>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</si>
  <si>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</si>
  <si>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</si>
  <si>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</si>
  <si>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</si>
  <si>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</si>
  <si>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</si>
  <si>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</si>
  <si>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</si>
  <si>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</si>
  <si>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</si>
  <si>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</si>
  <si>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</si>
  <si>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</si>
  <si>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</si>
  <si>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</si>
  <si>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</si>
  <si>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</si>
  <si>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</si>
  <si>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</si>
  <si>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</si>
  <si>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</si>
  <si>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</si>
  <si>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</si>
  <si>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</si>
  <si>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</si>
  <si>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</si>
  <si>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</si>
  <si>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</si>
  <si>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</si>
  <si>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</si>
  <si>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</si>
  <si>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</si>
  <si>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</si>
  <si>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</si>
  <si>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</si>
  <si>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</si>
  <si>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</si>
  <si>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</si>
  <si>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</si>
  <si>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</si>
  <si>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</si>
  <si>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</si>
  <si>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</si>
  <si>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</si>
  <si>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</si>
  <si>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</si>
  <si>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</si>
  <si>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</si>
  <si>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</si>
  <si>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</si>
  <si>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</si>
  <si>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</si>
  <si>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</si>
  <si>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</si>
  <si>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</si>
  <si>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</si>
  <si>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</si>
  <si>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</si>
  <si>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</si>
  <si>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</si>
  <si>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</si>
  <si>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</si>
  <si>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</si>
  <si>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</si>
  <si>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</si>
  <si>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</si>
  <si>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</si>
  <si>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</si>
  <si>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</si>
  <si>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</si>
  <si>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</si>
  <si>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</si>
  <si>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</si>
  <si>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</si>
  <si>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</si>
  <si>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</si>
  <si>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</si>
  <si>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</si>
  <si>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</si>
  <si>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</si>
  <si>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</si>
  <si>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</si>
  <si>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</si>
  <si>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</si>
  <si>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</si>
  <si>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</si>
  <si>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</si>
  <si>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</si>
  <si>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</si>
  <si>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</si>
  <si>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</si>
  <si>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</si>
  <si>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</si>
  <si>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</si>
  <si>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</si>
  <si>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</si>
  <si>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</si>
  <si>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</si>
  <si>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</si>
  <si>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</si>
  <si>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</si>
  <si>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</si>
  <si>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</si>
  <si>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</si>
  <si>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</si>
  <si>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</si>
  <si>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</si>
  <si>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</si>
  <si>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</si>
  <si>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</si>
  <si>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</si>
  <si>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</si>
  <si>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</si>
  <si>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</si>
  <si>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</si>
  <si>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</si>
  <si>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</si>
  <si>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</si>
  <si>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</si>
  <si>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</si>
  <si>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</si>
  <si>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</si>
  <si>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</si>
  <si>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</si>
  <si>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</si>
  <si>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</si>
  <si>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</si>
  <si>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</si>
  <si>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</si>
  <si>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</si>
  <si>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</si>
  <si>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</si>
  <si>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</si>
  <si>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</si>
  <si>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</si>
  <si>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</si>
  <si>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</si>
  <si>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</si>
  <si>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</si>
  <si>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</si>
  <si>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</si>
  <si>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</si>
  <si>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</si>
  <si>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</si>
  <si>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</si>
  <si>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</si>
  <si>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</si>
  <si>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</si>
  <si>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</si>
  <si>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</si>
  <si>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</si>
  <si>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</si>
  <si>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</si>
  <si>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</si>
  <si>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</si>
  <si>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</si>
  <si>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</si>
  <si>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</si>
  <si>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</si>
  <si>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</si>
  <si>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</si>
  <si>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</si>
  <si>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</si>
  <si>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</si>
  <si>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</si>
  <si>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</si>
  <si>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</si>
  <si>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</si>
  <si>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</si>
  <si>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</si>
  <si>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</si>
  <si>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</si>
  <si>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</si>
  <si>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</si>
  <si>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</si>
  <si>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</si>
  <si>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</si>
  <si>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</si>
  <si>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</si>
  <si>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</si>
  <si>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</si>
  <si>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</si>
  <si>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</si>
  <si>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</si>
  <si>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</si>
  <si>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</si>
  <si>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</si>
  <si>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</si>
  <si>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</si>
  <si>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</si>
  <si>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</si>
  <si>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</si>
  <si>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</si>
  <si>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</si>
  <si>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</si>
  <si>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</si>
  <si>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</si>
  <si>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</si>
  <si>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</si>
  <si>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</si>
  <si>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</si>
  <si>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</si>
  <si>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</si>
  <si>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</si>
  <si>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</si>
  <si>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</si>
  <si>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</si>
  <si>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</si>
  <si>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</si>
  <si>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</si>
  <si>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TCONT211+TCON2211+MOVCO211+INCID211+MECAU211+TDERE218+TDERE318+PROMO218+PROES218+MEDTO218+INCTO218+AUTME215+SOLRE215</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</si>
  <si>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</si>
  <si>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</si>
  <si>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</si>
  <si>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</si>
  <si>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</si>
  <si>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</si>
  <si>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</si>
  <si>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</si>
  <si>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</si>
  <si>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</si>
  <si>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</si>
  <si>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</si>
  <si>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</si>
  <si>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</si>
  <si>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</si>
  <si>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</si>
  <si>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</si>
  <si>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</si>
  <si>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TCON1111+MOVCO111+INCID111+MECAU111+TCON2111+TDERE118+PROMO118+PROES118+MEDTO118+INCTO118+AUTME115+SOLRE115</t>
  </si>
  <si>
    <t>TCON1311+TCON2311+MOVCO511+MOVCO611+MOVCO711+INCID311+MECAU311+TDERE418+TDERE518+PROMO318+PROES318+MEDTO318+INCTO318+SOLRE315+AUTME315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</si>
  <si>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</si>
  <si>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</si>
  <si>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</si>
  <si>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</si>
  <si>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</si>
  <si>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</si>
  <si>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</si>
  <si>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</si>
  <si>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</si>
  <si>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</si>
  <si>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</si>
  <si>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</si>
  <si>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</si>
  <si>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</si>
  <si>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</si>
  <si>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</si>
  <si>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</si>
  <si>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</si>
  <si>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TCON1411+TCON2411+TDERE618+PROMO418+PROES418+MOVCO811+INCID411+MECAU411+MEDTO418+INCTO418+SOLRE415+AUTME415</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</si>
  <si>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</si>
  <si>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</si>
  <si>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</si>
  <si>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</si>
  <si>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</si>
  <si>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</si>
  <si>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</si>
  <si>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</si>
  <si>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</si>
  <si>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</si>
  <si>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</si>
  <si>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</si>
  <si>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</si>
  <si>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</si>
  <si>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</si>
  <si>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</si>
  <si>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</si>
  <si>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</si>
  <si>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</si>
  <si>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</si>
  <si>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</si>
  <si>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</si>
  <si>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</si>
  <si>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</si>
  <si>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</si>
  <si>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</si>
  <si>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</si>
  <si>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</si>
  <si>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</si>
  <si>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</si>
  <si>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</si>
  <si>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r>
      <rPr>
        <b/>
        <sz val="10"/>
        <rFont val="Arial"/>
        <family val="2"/>
      </rPr>
      <t xml:space="preserve">Tasa de pendencia: </t>
    </r>
    <r>
      <rPr>
        <sz val="10"/>
        <rFont val="Arial"/>
        <family val="2"/>
      </rPr>
      <t>Cociente entre los asuntos pendientes al final del periodo y los resueltos en ese periodo. 
Cuando el periodo del informe sea un año, si se multiplica la tasa de pendencia por 12 ofrece una estimación del número de meses que se necesitaría, con el mismo ritmo resolutivo y sin ningún ingreso, para acabar con la pendencia. Cuando el informe sea trimestral la misma estimación se hace multiplicando la tasa de pendencia por 3.
Su principal finalidad es permitir la comparación de la pendencia de órganos, territorios, o jurisdicciones, o de estos a lo largo del tiempo.
Un órgano, territorio o jurisdicción está en mejor situación cuanto menor sea su tasa de pendencia.</t>
    </r>
  </si>
  <si>
    <t>De menos de 3 meses (Instrucción y JVM Penal Menos de 1 mes)</t>
  </si>
  <si>
    <t>De entre 3 y 6 meses (Instrucción y JVM Penal Entre 1 y 3 meses)</t>
  </si>
  <si>
    <t>De más de 6 meses (Instrucción y JVM Penal Más de 3 meses)</t>
  </si>
  <si>
    <t>Fecha Informe: 05 abr. 2022</t>
  </si>
  <si>
    <t>Tribunales de Justicia</t>
  </si>
  <si>
    <t>CATALUÑA</t>
  </si>
  <si>
    <t>Provincias</t>
  </si>
  <si>
    <t>BARCELONA</t>
  </si>
  <si>
    <t>Resumenes por Partidos Judiciales</t>
  </si>
  <si>
    <t>VILANOVA I LA GELTRU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</si>
</sst>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8">
    <xf numFmtId="0" fontId="0" fillId="0" borderId="0"/>
    <xf numFmtId="167" fontId="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7" fontId="13" fillId="0" borderId="0" applyFont="0" applyFill="0" applyBorder="0" applyAlignment="0" applyProtection="0"/>
    <xf numFmtId="167" fontId="75"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164" fontId="13" fillId="0" borderId="0" applyFont="0" applyFill="0" applyBorder="0" applyAlignment="0" applyProtection="0"/>
    <xf numFmtId="164" fontId="75" fillId="0" borderId="0" applyFont="0" applyFill="0" applyBorder="0" applyAlignment="0" applyProtection="0"/>
    <xf numFmtId="0" fontId="13" fillId="0" borderId="0"/>
    <xf numFmtId="0" fontId="13" fillId="0" borderId="0"/>
    <xf numFmtId="0" fontId="82" fillId="0" borderId="0"/>
    <xf numFmtId="0" fontId="25" fillId="0" borderId="0"/>
    <xf numFmtId="9" fontId="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9" fontId="13" fillId="0" borderId="0" applyFont="0" applyFill="0" applyBorder="0" applyAlignment="0" applyProtection="0"/>
    <xf numFmtId="9" fontId="75" fillId="0" borderId="0" applyFont="0" applyFill="0" applyBorder="0" applyAlignment="0" applyProtection="0"/>
    <xf numFmtId="0" fontId="1" fillId="0" borderId="0"/>
    <xf numFmtId="0" fontId="2" fillId="0" borderId="0"/>
    <xf numFmtId="167" fontId="13"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0" fontId="1" fillId="0" borderId="0"/>
    <xf numFmtId="9" fontId="2" fillId="0" borderId="0" applyFont="0" applyFill="0" applyBorder="0" applyAlignment="0" applyProtection="0"/>
    <xf numFmtId="9" fontId="13" fillId="0" borderId="0" applyFont="0" applyFill="0" applyBorder="0" applyAlignment="0" applyProtection="0"/>
  </cellStyleXfs>
  <cellXfs count="1915">
    <xf numFmtId="0" fontId="0" fillId="0" borderId="0" xfId="0"/>
    <xf numFmtId="0" fontId="9"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5" fillId="0" borderId="5" xfId="0" applyNumberFormat="1" applyFont="1" applyBorder="1" applyAlignment="1" applyProtection="1">
      <alignment horizontal="left" vertical="top" wrapText="1"/>
      <protection locked="0"/>
    </xf>
    <xf numFmtId="0" fontId="7" fillId="0" borderId="6" xfId="0" applyFont="1" applyBorder="1" applyAlignment="1">
      <alignment horizontal="justify" vertical="top" wrapText="1"/>
    </xf>
    <xf numFmtId="0" fontId="0" fillId="0" borderId="0" xfId="0" applyProtection="1">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7" fillId="0" borderId="16" xfId="0" applyFont="1" applyBorder="1" applyAlignment="1" applyProtection="1">
      <alignment horizontal="justify" vertical="top" wrapText="1"/>
      <protection locked="0"/>
    </xf>
    <xf numFmtId="49" fontId="5" fillId="0" borderId="5" xfId="0" applyNumberFormat="1" applyFont="1" applyBorder="1" applyAlignment="1" applyProtection="1">
      <alignment horizontal="center" vertical="top" wrapText="1"/>
      <protection locked="0"/>
    </xf>
    <xf numFmtId="49" fontId="7" fillId="0" borderId="17" xfId="0" applyNumberFormat="1" applyFont="1" applyBorder="1" applyAlignment="1" applyProtection="1">
      <alignment horizontal="left" vertical="top" wrapText="1"/>
      <protection locked="0"/>
    </xf>
    <xf numFmtId="49" fontId="5" fillId="0" borderId="16" xfId="0" applyNumberFormat="1" applyFont="1" applyBorder="1" applyAlignment="1" applyProtection="1">
      <alignment horizontal="center" vertical="top" wrapText="1"/>
      <protection locked="0"/>
    </xf>
    <xf numFmtId="49" fontId="3"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5"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5" fillId="0" borderId="18" xfId="0" applyNumberFormat="1" applyFont="1" applyBorder="1" applyAlignment="1" applyProtection="1">
      <alignment horizontal="left"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9"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5" fillId="2" borderId="29"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5" fillId="2" borderId="8" xfId="0" applyFont="1" applyFill="1" applyBorder="1" applyAlignment="1" applyProtection="1">
      <alignment horizontal="center" vertical="center" textRotation="90" wrapText="1"/>
      <protection locked="0"/>
    </xf>
    <xf numFmtId="0" fontId="5"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8"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8" fillId="4" borderId="10" xfId="0" applyNumberFormat="1" applyFont="1" applyFill="1" applyBorder="1" applyAlignment="1" applyProtection="1">
      <alignment horizontal="left" vertical="top" wrapText="1"/>
      <protection locked="0"/>
    </xf>
    <xf numFmtId="49" fontId="3" fillId="4" borderId="8"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left" vertical="top" wrapText="1"/>
      <protection locked="0"/>
    </xf>
    <xf numFmtId="49" fontId="3"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6" fillId="4" borderId="13" xfId="0" applyNumberFormat="1" applyFont="1" applyFill="1" applyBorder="1" applyAlignment="1" applyProtection="1">
      <alignment horizontal="center" vertical="top" wrapText="1"/>
      <protection locked="0"/>
    </xf>
    <xf numFmtId="49" fontId="6"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0" fontId="4" fillId="4" borderId="29" xfId="0" applyFont="1" applyFill="1" applyBorder="1" applyAlignment="1" applyProtection="1">
      <alignment horizontal="justify" vertical="top" wrapText="1"/>
      <protection locked="0"/>
    </xf>
    <xf numFmtId="49" fontId="3" fillId="4" borderId="21" xfId="0" applyNumberFormat="1" applyFont="1" applyFill="1" applyBorder="1" applyAlignment="1" applyProtection="1">
      <alignment horizontal="center" vertical="top" wrapText="1"/>
      <protection locked="0"/>
    </xf>
    <xf numFmtId="49" fontId="5" fillId="4" borderId="43" xfId="0" applyNumberFormat="1" applyFont="1" applyFill="1" applyBorder="1" applyAlignment="1" applyProtection="1">
      <alignment horizontal="left" vertical="top" wrapText="1"/>
      <protection locked="0"/>
    </xf>
    <xf numFmtId="49" fontId="3" fillId="4" borderId="29" xfId="0" applyNumberFormat="1" applyFont="1" applyFill="1" applyBorder="1" applyAlignment="1" applyProtection="1">
      <alignment horizontal="center" vertical="top" wrapText="1"/>
      <protection locked="0"/>
    </xf>
    <xf numFmtId="49" fontId="3" fillId="4" borderId="21" xfId="0" applyNumberFormat="1" applyFont="1" applyFill="1" applyBorder="1" applyAlignment="1" applyProtection="1">
      <alignment horizontal="left" vertical="top" wrapText="1"/>
      <protection locked="0"/>
    </xf>
    <xf numFmtId="49" fontId="3" fillId="4" borderId="31" xfId="0" applyNumberFormat="1" applyFont="1" applyFill="1" applyBorder="1" applyAlignment="1" applyProtection="1">
      <alignment horizontal="center" vertical="top" wrapText="1"/>
      <protection locked="0"/>
    </xf>
    <xf numFmtId="49" fontId="0" fillId="0" borderId="0" xfId="0" applyNumberFormat="1"/>
    <xf numFmtId="0" fontId="5"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16" fillId="4" borderId="45" xfId="0" applyNumberFormat="1" applyFont="1" applyFill="1" applyBorder="1" applyProtection="1">
      <protection locked="0"/>
    </xf>
    <xf numFmtId="165" fontId="16" fillId="4" borderId="10" xfId="0" applyNumberFormat="1" applyFont="1" applyFill="1" applyBorder="1" applyProtection="1">
      <protection locked="0"/>
    </xf>
    <xf numFmtId="165" fontId="16"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5" fillId="2" borderId="10" xfId="0" applyFont="1" applyFill="1" applyBorder="1" applyAlignment="1" applyProtection="1">
      <alignment horizontal="center" vertical="center" textRotation="90" wrapText="1"/>
      <protection locked="0"/>
    </xf>
    <xf numFmtId="0" fontId="5"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7"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6" fillId="5" borderId="13" xfId="0" applyNumberFormat="1" applyFont="1" applyFill="1" applyBorder="1" applyAlignment="1" applyProtection="1">
      <alignment horizontal="center" vertical="top" wrapText="1"/>
      <protection locked="0"/>
    </xf>
    <xf numFmtId="49" fontId="6"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5" fillId="2" borderId="40" xfId="0" applyFont="1" applyFill="1" applyBorder="1" applyAlignment="1" applyProtection="1">
      <alignment horizontal="center" vertical="center" wrapText="1"/>
      <protection locked="0"/>
    </xf>
    <xf numFmtId="0" fontId="7"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7"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16"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40" fillId="3" borderId="60"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61"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61" xfId="0" applyNumberFormat="1" applyFont="1" applyBorder="1" applyAlignment="1">
      <alignment horizontal="right" shrinkToFit="1"/>
    </xf>
    <xf numFmtId="4"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166" fontId="39" fillId="0" borderId="6" xfId="0" applyNumberFormat="1" applyFont="1" applyBorder="1" applyAlignment="1">
      <alignment horizontal="right" shrinkToFit="1"/>
    </xf>
    <xf numFmtId="4" fontId="41" fillId="2" borderId="61" xfId="0" applyNumberFormat="1" applyFont="1" applyFill="1" applyBorder="1" applyAlignment="1">
      <alignment horizontal="right" shrinkToFit="1"/>
    </xf>
    <xf numFmtId="4" fontId="41" fillId="2" borderId="62" xfId="0" applyNumberFormat="1" applyFont="1" applyFill="1" applyBorder="1" applyAlignment="1">
      <alignment horizontal="right" shrinkToFit="1"/>
    </xf>
    <xf numFmtId="4" fontId="41" fillId="2" borderId="55" xfId="0" applyNumberFormat="1" applyFont="1" applyFill="1" applyBorder="1" applyAlignment="1">
      <alignment horizontal="right" shrinkToFit="1"/>
    </xf>
    <xf numFmtId="166" fontId="41" fillId="2" borderId="6" xfId="0" applyNumberFormat="1" applyFont="1" applyFill="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0" fontId="39" fillId="0" borderId="53"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4" fontId="41" fillId="2" borderId="53" xfId="0" applyNumberFormat="1" applyFont="1" applyFill="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7"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10" fontId="39" fillId="0" borderId="39"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7" fillId="0" borderId="72" xfId="0" applyFont="1" applyBorder="1" applyAlignment="1">
      <alignment horizontal="justify" vertical="top" wrapText="1"/>
    </xf>
    <xf numFmtId="0" fontId="7"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1" fillId="2" borderId="6" xfId="0" applyNumberFormat="1" applyFont="1" applyFill="1" applyBorder="1" applyAlignment="1">
      <alignment horizontal="right" shrinkToFit="1"/>
    </xf>
    <xf numFmtId="49" fontId="39" fillId="0" borderId="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1" fillId="2" borderId="6" xfId="15" applyNumberFormat="1" applyFont="1" applyFill="1" applyBorder="1" applyAlignment="1">
      <alignment horizontal="right" shrinkToFit="1"/>
    </xf>
    <xf numFmtId="166" fontId="39" fillId="0" borderId="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1" fillId="2" borderId="6" xfId="0" applyNumberFormat="1" applyFont="1" applyFill="1" applyBorder="1" applyAlignment="1">
      <alignment horizontal="right" shrinkToFit="1"/>
    </xf>
    <xf numFmtId="1" fontId="39" fillId="0" borderId="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6" fillId="8" borderId="16" xfId="0" applyNumberFormat="1" applyFont="1" applyFill="1" applyBorder="1" applyProtection="1">
      <protection locked="0"/>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0" borderId="5"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0" fontId="16" fillId="0" borderId="0" xfId="0" applyFont="1" applyAlignment="1" applyProtection="1">
      <alignment wrapText="1"/>
      <protection locked="0"/>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0" fontId="16" fillId="0" borderId="16" xfId="0" applyNumberFormat="1" applyFont="1" applyBorder="1" applyAlignment="1" applyProtection="1">
      <alignment wrapText="1"/>
      <protection locked="0"/>
    </xf>
    <xf numFmtId="4" fontId="41" fillId="2" borderId="54" xfId="0" applyNumberFormat="1" applyFont="1" applyFill="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2" fontId="16" fillId="4" borderId="8" xfId="0" applyNumberFormat="1" applyFont="1" applyFill="1" applyBorder="1" applyProtection="1">
      <protection locked="0"/>
    </xf>
    <xf numFmtId="2" fontId="16" fillId="0" borderId="35" xfId="0" applyNumberFormat="1" applyFont="1" applyBorder="1" applyProtection="1">
      <protection locked="0"/>
    </xf>
    <xf numFmtId="3" fontId="24" fillId="4" borderId="4" xfId="14" applyNumberFormat="1" applyFont="1" applyFill="1" applyBorder="1" applyAlignment="1">
      <alignment horizontal="left" vertical="center"/>
    </xf>
    <xf numFmtId="0" fontId="7" fillId="0" borderId="74" xfId="0" applyFont="1" applyBorder="1" applyAlignment="1">
      <alignment horizontal="justify" vertical="top" wrapText="1"/>
    </xf>
    <xf numFmtId="0" fontId="7"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9" fontId="41" fillId="2" borderId="55" xfId="0" applyNumberFormat="1" applyFont="1" applyFill="1" applyBorder="1" applyAlignment="1">
      <alignment horizontal="right" shrinkToFit="1"/>
    </xf>
    <xf numFmtId="9" fontId="41"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16" xfId="0" applyNumberFormat="1" applyFont="1" applyBorder="1" applyAlignment="1">
      <alignment horizontal="right"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3" fontId="48" fillId="0" borderId="5" xfId="0" applyNumberFormat="1" applyFont="1" applyBorder="1" applyAlignment="1">
      <alignment horizontal="right" shrinkToFit="1"/>
    </xf>
    <xf numFmtId="3" fontId="48" fillId="0" borderId="1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58" fillId="2" borderId="61" xfId="0" applyNumberFormat="1" applyFont="1" applyFill="1" applyBorder="1" applyAlignment="1">
      <alignment horizontal="right" shrinkToFit="1"/>
    </xf>
    <xf numFmtId="4" fontId="58" fillId="2" borderId="62" xfId="0" applyNumberFormat="1" applyFont="1" applyFill="1" applyBorder="1" applyAlignment="1">
      <alignment horizontal="right" shrinkToFit="1"/>
    </xf>
    <xf numFmtId="4" fontId="58" fillId="2" borderId="57" xfId="0" applyNumberFormat="1" applyFont="1" applyFill="1" applyBorder="1" applyAlignment="1">
      <alignment horizontal="right" shrinkToFit="1"/>
    </xf>
    <xf numFmtId="4" fontId="58" fillId="2" borderId="6" xfId="0" applyNumberFormat="1" applyFont="1" applyFill="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53"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0" fontId="0" fillId="0" borderId="0" xfId="0" applyFill="1"/>
    <xf numFmtId="49" fontId="16" fillId="0" borderId="46" xfId="0" applyNumberFormat="1" applyFont="1" applyBorder="1" applyProtection="1">
      <protection locked="0"/>
    </xf>
    <xf numFmtId="0" fontId="29" fillId="0" borderId="0" xfId="0" applyFont="1"/>
    <xf numFmtId="2" fontId="16" fillId="0" borderId="5" xfId="0" applyNumberFormat="1" applyFont="1" applyBorder="1" applyProtection="1">
      <protection locked="0"/>
    </xf>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49" fontId="39" fillId="0" borderId="35" xfId="0" applyNumberFormat="1" applyFont="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7"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3" fontId="29" fillId="0" borderId="17" xfId="0" applyNumberFormat="1" applyFont="1" applyBorder="1" applyAlignment="1">
      <alignment horizontal="right" shrinkToFit="1"/>
    </xf>
    <xf numFmtId="3" fontId="29" fillId="0" borderId="18" xfId="0" applyNumberFormat="1" applyFont="1" applyBorder="1" applyAlignment="1">
      <alignment horizontal="right" shrinkToFit="1"/>
    </xf>
    <xf numFmtId="166" fontId="29" fillId="0" borderId="56" xfId="0" applyNumberFormat="1" applyFont="1" applyBorder="1" applyAlignment="1">
      <alignment horizontal="right"/>
    </xf>
    <xf numFmtId="49" fontId="29" fillId="0" borderId="35" xfId="0" applyNumberFormat="1" applyFont="1" applyBorder="1" applyAlignment="1">
      <alignment horizontal="justify" vertical="center" wrapText="1"/>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9" fontId="29" fillId="0" borderId="5" xfId="15"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166" fontId="29" fillId="0" borderId="35"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3" fontId="29" fillId="0" borderId="57"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4"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3" fontId="29" fillId="0" borderId="54" xfId="0" applyNumberFormat="1" applyFont="1" applyBorder="1" applyAlignment="1">
      <alignment horizontal="right" shrinkToFit="1"/>
    </xf>
    <xf numFmtId="3" fontId="29" fillId="0" borderId="55" xfId="0" applyNumberFormat="1" applyFont="1" applyBorder="1" applyAlignment="1">
      <alignment horizontal="right" shrinkToFit="1"/>
    </xf>
    <xf numFmtId="166" fontId="29" fillId="0" borderId="56" xfId="0" applyNumberFormat="1" applyFont="1" applyBorder="1" applyAlignment="1">
      <alignment horizontal="right" shrinkToFit="1"/>
    </xf>
    <xf numFmtId="0" fontId="24" fillId="0" borderId="6" xfId="0" applyFont="1" applyBorder="1" applyAlignment="1">
      <alignment horizontal="justify" vertical="top" wrapText="1"/>
    </xf>
    <xf numFmtId="0" fontId="24" fillId="0" borderId="6" xfId="0" applyFont="1" applyFill="1" applyBorder="1" applyAlignment="1">
      <alignment horizontal="justify" vertical="top" wrapText="1"/>
    </xf>
    <xf numFmtId="166" fontId="24" fillId="0" borderId="6" xfId="0" applyNumberFormat="1" applyFont="1" applyFill="1" applyBorder="1" applyAlignment="1">
      <alignment horizontal="right" shrinkToFit="1"/>
    </xf>
    <xf numFmtId="3" fontId="29" fillId="0" borderId="61" xfId="0" applyNumberFormat="1" applyFont="1" applyFill="1" applyBorder="1" applyAlignment="1">
      <alignment horizontal="right" shrinkToFit="1"/>
    </xf>
    <xf numFmtId="4" fontId="24" fillId="2" borderId="53" xfId="0" applyNumberFormat="1" applyFont="1" applyFill="1" applyBorder="1" applyAlignment="1">
      <alignment horizontal="right" shrinkToFit="1"/>
    </xf>
    <xf numFmtId="166" fontId="24" fillId="2" borderId="54" xfId="0" applyNumberFormat="1" applyFont="1" applyFill="1" applyBorder="1" applyAlignment="1">
      <alignment horizontal="right" shrinkToFit="1"/>
    </xf>
    <xf numFmtId="3" fontId="29" fillId="0" borderId="62" xfId="0" applyNumberFormat="1" applyFont="1" applyBorder="1" applyAlignment="1">
      <alignment horizontal="right" shrinkToFit="1"/>
    </xf>
    <xf numFmtId="4" fontId="24" fillId="2" borderId="61" xfId="0" applyNumberFormat="1" applyFont="1" applyFill="1" applyBorder="1" applyAlignment="1">
      <alignment horizontal="right" shrinkToFit="1"/>
    </xf>
    <xf numFmtId="166" fontId="24" fillId="2" borderId="6" xfId="0" applyNumberFormat="1" applyFont="1" applyFill="1" applyBorder="1" applyAlignment="1">
      <alignment horizontal="right" shrinkToFit="1"/>
    </xf>
    <xf numFmtId="166" fontId="24" fillId="2" borderId="6" xfId="15" applyNumberFormat="1" applyFont="1" applyFill="1" applyBorder="1" applyAlignment="1">
      <alignment horizontal="right" shrinkToFit="1"/>
    </xf>
    <xf numFmtId="49" fontId="24" fillId="2" borderId="6" xfId="0" applyNumberFormat="1" applyFont="1" applyFill="1" applyBorder="1" applyAlignment="1">
      <alignment horizontal="right" shrinkToFit="1"/>
    </xf>
    <xf numFmtId="0" fontId="24" fillId="2" borderId="6" xfId="0" applyNumberFormat="1" applyFont="1" applyFill="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166" fontId="29" fillId="0" borderId="6" xfId="15" applyNumberFormat="1" applyFont="1" applyBorder="1" applyAlignment="1">
      <alignment horizontal="right" shrinkToFit="1"/>
    </xf>
    <xf numFmtId="49" fontId="29" fillId="0" borderId="6" xfId="0" applyNumberFormat="1" applyFont="1" applyBorder="1" applyAlignment="1">
      <alignment horizontal="right" shrinkToFit="1"/>
    </xf>
    <xf numFmtId="0"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7"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7" fillId="0" borderId="0" xfId="14" applyFont="1" applyBorder="1" applyAlignment="1">
      <alignment horizontal="left" vertical="center" wrapText="1"/>
    </xf>
    <xf numFmtId="0" fontId="7" fillId="0" borderId="0" xfId="0" applyFont="1"/>
    <xf numFmtId="0" fontId="68" fillId="0" borderId="0" xfId="0" applyFont="1"/>
    <xf numFmtId="0" fontId="29" fillId="0" borderId="57" xfId="0" applyNumberFormat="1" applyFont="1" applyBorder="1" applyAlignment="1">
      <alignment horizontal="right" shrinkToFit="1"/>
    </xf>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 fontId="29" fillId="0" borderId="5" xfId="0" applyNumberFormat="1" applyFont="1" applyBorder="1" applyAlignment="1">
      <alignment horizontal="right" shrinkToFit="1"/>
    </xf>
    <xf numFmtId="166" fontId="29" fillId="0" borderId="5" xfId="0" applyNumberFormat="1" applyFont="1" applyBorder="1" applyAlignment="1">
      <alignment horizontal="right" shrinkToFit="1"/>
    </xf>
    <xf numFmtId="4" fontId="29" fillId="0" borderId="5" xfId="0" applyNumberFormat="1" applyFont="1" applyBorder="1" applyAlignment="1">
      <alignment horizontal="right" shrinkToFit="1"/>
    </xf>
    <xf numFmtId="2" fontId="29" fillId="0" borderId="19" xfId="0" applyNumberFormat="1" applyFont="1" applyBorder="1" applyAlignment="1">
      <alignment horizontal="right" shrinkToFit="1"/>
    </xf>
    <xf numFmtId="4" fontId="24" fillId="2" borderId="5" xfId="0" applyNumberFormat="1" applyFont="1" applyFill="1" applyBorder="1" applyAlignment="1">
      <alignment horizontal="right" shrinkToFit="1"/>
    </xf>
    <xf numFmtId="166" fontId="24" fillId="2" borderId="5" xfId="0" applyNumberFormat="1" applyFont="1" applyFill="1" applyBorder="1" applyAlignment="1">
      <alignment horizontal="right" shrinkToFit="1"/>
    </xf>
    <xf numFmtId="166" fontId="24" fillId="2" borderId="57" xfId="0" applyNumberFormat="1" applyFont="1" applyFill="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24" fillId="2" borderId="6" xfId="0" applyNumberFormat="1" applyFont="1" applyFill="1" applyBorder="1" applyAlignment="1">
      <alignment horizontal="right" shrinkToFit="1"/>
    </xf>
    <xf numFmtId="168" fontId="29" fillId="0" borderId="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0" fontId="24" fillId="0" borderId="61"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5"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39" fillId="0" borderId="35" xfId="15" applyNumberFormat="1" applyFont="1" applyBorder="1" applyAlignment="1">
      <alignment horizontal="right" shrinkToFit="1"/>
    </xf>
    <xf numFmtId="168" fontId="29" fillId="0" borderId="56" xfId="15" applyNumberFormat="1" applyFont="1" applyBorder="1" applyAlignment="1">
      <alignment horizontal="right" shrinkToFit="1"/>
    </xf>
    <xf numFmtId="168" fontId="24" fillId="2" borderId="6" xfId="15" applyNumberFormat="1" applyFont="1" applyFill="1" applyBorder="1" applyAlignment="1">
      <alignment horizontal="right" shrinkToFit="1"/>
    </xf>
    <xf numFmtId="168" fontId="29" fillId="0" borderId="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19" xfId="15" applyNumberFormat="1" applyFont="1" applyBorder="1" applyAlignment="1">
      <alignment horizontal="right" shrinkToFit="1"/>
    </xf>
    <xf numFmtId="168" fontId="39" fillId="0" borderId="54" xfId="0" applyNumberFormat="1" applyFont="1" applyBorder="1" applyAlignment="1">
      <alignment horizontal="right"/>
    </xf>
    <xf numFmtId="168" fontId="24" fillId="2" borderId="5" xfId="0" applyNumberFormat="1" applyFont="1" applyFill="1" applyBorder="1" applyAlignment="1">
      <alignment horizontal="right" shrinkToFit="1"/>
    </xf>
    <xf numFmtId="168" fontId="24" fillId="2" borderId="57" xfId="0" applyNumberFormat="1" applyFont="1" applyFill="1" applyBorder="1" applyAlignment="1">
      <alignment horizontal="right" shrinkToFit="1"/>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0" fontId="7" fillId="14" borderId="6" xfId="0" applyFont="1" applyFill="1" applyBorder="1" applyAlignment="1">
      <alignment horizontal="justify" vertical="top" wrapText="1"/>
    </xf>
    <xf numFmtId="0" fontId="29" fillId="14" borderId="6" xfId="0" applyFont="1" applyFill="1" applyBorder="1" applyAlignment="1">
      <alignment horizontal="justify" vertical="top"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7" fillId="0" borderId="6" xfId="0" applyFont="1" applyFill="1" applyBorder="1" applyAlignment="1">
      <alignment horizontal="justify" vertical="top" wrapText="1"/>
    </xf>
    <xf numFmtId="0" fontId="39" fillId="0" borderId="72"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7"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14" borderId="35" xfId="15"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33" xfId="0" applyNumberFormat="1" applyFont="1" applyBorder="1" applyAlignment="1">
      <alignment horizontal="right" shrinkToFit="1"/>
    </xf>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7"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5" fillId="0" borderId="5" xfId="0" applyNumberFormat="1" applyFont="1" applyFill="1" applyBorder="1" applyAlignment="1" applyProtection="1">
      <alignment horizontal="center" vertical="top" wrapText="1"/>
      <protection locked="0"/>
    </xf>
    <xf numFmtId="49" fontId="7" fillId="0" borderId="17" xfId="0" applyNumberFormat="1" applyFont="1" applyFill="1" applyBorder="1" applyAlignment="1" applyProtection="1">
      <alignment horizontal="left" vertical="top" wrapText="1"/>
      <protection locked="0"/>
    </xf>
    <xf numFmtId="49" fontId="5" fillId="0" borderId="16" xfId="0" applyNumberFormat="1" applyFont="1" applyFill="1" applyBorder="1" applyAlignment="1" applyProtection="1">
      <alignment horizontal="center" vertical="top" wrapText="1"/>
      <protection locked="0"/>
    </xf>
    <xf numFmtId="49" fontId="5" fillId="0" borderId="5" xfId="0" applyNumberFormat="1" applyFont="1" applyFill="1" applyBorder="1" applyAlignment="1" applyProtection="1">
      <alignment horizontal="left" vertical="top" wrapText="1"/>
      <protection locked="0"/>
    </xf>
    <xf numFmtId="49" fontId="3"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0" fontId="69" fillId="0" borderId="0" xfId="0" applyFont="1"/>
    <xf numFmtId="49" fontId="5"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49" fontId="7" fillId="0" borderId="35" xfId="0" applyNumberFormat="1" applyFont="1" applyFill="1" applyBorder="1" applyAlignment="1">
      <alignment horizontal="justify" vertical="center" wrapText="1"/>
    </xf>
    <xf numFmtId="49" fontId="7" fillId="0" borderId="6" xfId="0" applyNumberFormat="1" applyFont="1" applyFill="1" applyBorder="1" applyAlignment="1">
      <alignment horizontal="justify" vertical="center" wrapText="1"/>
    </xf>
    <xf numFmtId="3" fontId="39" fillId="0" borderId="34" xfId="0" applyNumberFormat="1" applyFont="1" applyFill="1" applyBorder="1" applyAlignment="1">
      <alignment horizontal="right" shrinkToFit="1"/>
    </xf>
    <xf numFmtId="3" fontId="39" fillId="0" borderId="57" xfId="0" applyNumberFormat="1" applyFont="1" applyFill="1" applyBorder="1" applyAlignment="1">
      <alignment horizontal="right" shrinkToFit="1"/>
    </xf>
    <xf numFmtId="2" fontId="39" fillId="0" borderId="17" xfId="0" applyNumberFormat="1" applyFont="1" applyFill="1" applyBorder="1" applyAlignment="1">
      <alignment horizontal="right" shrinkToFit="1"/>
    </xf>
    <xf numFmtId="2" fontId="39" fillId="0" borderId="18" xfId="0" applyNumberFormat="1" applyFont="1" applyFill="1" applyBorder="1" applyAlignment="1">
      <alignment horizontal="right" shrinkToFit="1"/>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7"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1" fontId="29" fillId="0" borderId="19" xfId="0" applyNumberFormat="1" applyFont="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68" fontId="39" fillId="14" borderId="35" xfId="15" applyNumberFormat="1" applyFont="1" applyFill="1" applyBorder="1" applyAlignment="1">
      <alignment horizontal="right" wrapText="1" shrinkToFit="1"/>
    </xf>
    <xf numFmtId="1" fontId="39" fillId="0" borderId="35" xfId="15" applyNumberFormat="1" applyFont="1" applyFill="1" applyBorder="1" applyAlignment="1">
      <alignment horizontal="right" wrapText="1" shrinkToFit="1"/>
    </xf>
    <xf numFmtId="166" fontId="24" fillId="0" borderId="6" xfId="0" applyNumberFormat="1" applyFont="1" applyFill="1" applyBorder="1" applyAlignment="1">
      <alignment horizontal="right" wrapText="1" shrinkToFit="1"/>
    </xf>
    <xf numFmtId="3" fontId="29" fillId="0" borderId="61" xfId="0" applyNumberFormat="1" applyFont="1" applyFill="1" applyBorder="1" applyAlignment="1">
      <alignment horizontal="right" wrapText="1" shrinkToFit="1"/>
    </xf>
    <xf numFmtId="4" fontId="24" fillId="2" borderId="53" xfId="0" applyNumberFormat="1" applyFont="1" applyFill="1" applyBorder="1" applyAlignment="1">
      <alignment horizontal="right" wrapText="1" shrinkToFit="1"/>
    </xf>
    <xf numFmtId="166" fontId="24" fillId="2" borderId="54" xfId="0" applyNumberFormat="1" applyFont="1" applyFill="1" applyBorder="1" applyAlignment="1">
      <alignment horizontal="right" wrapText="1" shrinkToFit="1"/>
    </xf>
    <xf numFmtId="3" fontId="29" fillId="0" borderId="56" xfId="0" applyNumberFormat="1" applyFont="1" applyBorder="1" applyAlignment="1">
      <alignment horizontal="right" wrapText="1" shrinkToFit="1"/>
    </xf>
    <xf numFmtId="3" fontId="29" fillId="0" borderId="54" xfId="0" applyNumberFormat="1" applyFont="1" applyBorder="1" applyAlignment="1">
      <alignment horizontal="right" wrapText="1" shrinkToFit="1"/>
    </xf>
    <xf numFmtId="3" fontId="29" fillId="0" borderId="55" xfId="0" applyNumberFormat="1" applyFont="1" applyBorder="1" applyAlignment="1">
      <alignment horizontal="right" wrapText="1" shrinkToFit="1"/>
    </xf>
    <xf numFmtId="3" fontId="29" fillId="0" borderId="16" xfId="0" applyNumberFormat="1" applyFont="1" applyBorder="1" applyAlignment="1">
      <alignment horizontal="right" wrapText="1" shrinkToFit="1"/>
    </xf>
    <xf numFmtId="3" fontId="29" fillId="0" borderId="17" xfId="0" applyNumberFormat="1" applyFont="1" applyBorder="1" applyAlignment="1">
      <alignment horizontal="right" wrapText="1" shrinkToFit="1"/>
    </xf>
    <xf numFmtId="3" fontId="29" fillId="0" borderId="18" xfId="0" applyNumberFormat="1" applyFont="1" applyBorder="1" applyAlignment="1">
      <alignment horizontal="right" wrapText="1" shrinkToFit="1"/>
    </xf>
    <xf numFmtId="3" fontId="29" fillId="0" borderId="62" xfId="0" applyNumberFormat="1" applyFont="1" applyBorder="1" applyAlignment="1">
      <alignment horizontal="right" wrapText="1" shrinkToFit="1"/>
    </xf>
    <xf numFmtId="3" fontId="29" fillId="0" borderId="57" xfId="0" applyNumberFormat="1" applyFont="1" applyBorder="1" applyAlignment="1">
      <alignment horizontal="right" wrapText="1" shrinkToFit="1"/>
    </xf>
    <xf numFmtId="4" fontId="24" fillId="2" borderId="61" xfId="0" applyNumberFormat="1" applyFont="1" applyFill="1" applyBorder="1" applyAlignment="1">
      <alignment horizontal="right" wrapText="1" shrinkToFit="1"/>
    </xf>
    <xf numFmtId="166" fontId="24" fillId="2" borderId="6" xfId="0" applyNumberFormat="1" applyFont="1" applyFill="1" applyBorder="1" applyAlignment="1">
      <alignment horizontal="right" wrapText="1" shrinkToFit="1"/>
    </xf>
    <xf numFmtId="166" fontId="24" fillId="2" borderId="6" xfId="15" applyNumberFormat="1" applyFont="1" applyFill="1" applyBorder="1" applyAlignment="1">
      <alignment horizontal="right" wrapText="1" shrinkToFit="1"/>
    </xf>
    <xf numFmtId="168" fontId="24" fillId="2" borderId="6" xfId="15" applyNumberFormat="1" applyFont="1" applyFill="1" applyBorder="1" applyAlignment="1">
      <alignment horizontal="right" wrapText="1" shrinkToFit="1"/>
    </xf>
    <xf numFmtId="49" fontId="24" fillId="2" borderId="6" xfId="0" applyNumberFormat="1" applyFont="1" applyFill="1" applyBorder="1" applyAlignment="1">
      <alignment horizontal="right" wrapText="1" shrinkToFit="1"/>
    </xf>
    <xf numFmtId="0" fontId="24" fillId="2" borderId="6" xfId="0" applyNumberFormat="1" applyFont="1" applyFill="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3" fontId="39" fillId="0" borderId="34" xfId="0" applyNumberFormat="1" applyFont="1" applyBorder="1" applyAlignment="1">
      <alignment horizontal="right" wrapText="1" shrinkToFit="1"/>
    </xf>
    <xf numFmtId="3" fontId="39" fillId="0" borderId="57" xfId="0" applyNumberFormat="1" applyFont="1" applyBorder="1" applyAlignment="1">
      <alignment horizontal="right" wrapText="1" shrinkToFit="1"/>
    </xf>
    <xf numFmtId="168" fontId="39" fillId="0" borderId="35" xfId="15" applyNumberFormat="1" applyFont="1" applyBorder="1" applyAlignment="1">
      <alignment horizontal="right" wrapText="1" shrinkToFit="1"/>
    </xf>
    <xf numFmtId="49" fontId="39" fillId="0" borderId="35" xfId="0" applyNumberFormat="1" applyFont="1" applyBorder="1" applyAlignment="1">
      <alignment horizontal="right" wrapText="1" shrinkToFit="1"/>
    </xf>
    <xf numFmtId="1" fontId="29" fillId="0" borderId="6" xfId="0" applyNumberFormat="1" applyFont="1" applyBorder="1" applyAlignment="1" applyProtection="1">
      <alignment wrapText="1"/>
      <protection locked="0"/>
    </xf>
    <xf numFmtId="166" fontId="29" fillId="0" borderId="6" xfId="0" applyNumberFormat="1" applyFont="1" applyFill="1" applyBorder="1" applyAlignment="1">
      <alignment horizontal="right" wrapText="1" shrinkToFit="1"/>
    </xf>
    <xf numFmtId="9" fontId="29" fillId="0" borderId="5" xfId="15" applyNumberFormat="1" applyFont="1" applyBorder="1" applyAlignment="1">
      <alignment horizontal="right" wrapText="1" shrinkToFit="1"/>
    </xf>
    <xf numFmtId="4" fontId="29" fillId="0" borderId="53" xfId="0" applyNumberFormat="1" applyFont="1" applyBorder="1" applyAlignment="1">
      <alignment horizontal="right" wrapText="1" shrinkToFit="1"/>
    </xf>
    <xf numFmtId="166" fontId="29" fillId="0" borderId="35" xfId="0" applyNumberFormat="1" applyFont="1" applyBorder="1" applyAlignment="1">
      <alignment horizontal="right" wrapText="1" shrinkToFit="1"/>
    </xf>
    <xf numFmtId="166" fontId="29" fillId="0" borderId="6" xfId="0" applyNumberFormat="1" applyFont="1" applyBorder="1" applyAlignment="1">
      <alignment horizontal="right" wrapText="1" shrinkToFit="1"/>
    </xf>
    <xf numFmtId="166" fontId="29" fillId="0" borderId="6" xfId="15" applyNumberFormat="1" applyFont="1" applyBorder="1" applyAlignment="1">
      <alignment horizontal="right" wrapText="1" shrinkToFit="1"/>
    </xf>
    <xf numFmtId="168" fontId="29" fillId="0" borderId="6" xfId="15" applyNumberFormat="1" applyFont="1" applyBorder="1" applyAlignment="1">
      <alignment horizontal="right" wrapText="1" shrinkToFit="1"/>
    </xf>
    <xf numFmtId="49" fontId="29" fillId="0" borderId="6" xfId="0" applyNumberFormat="1" applyFont="1" applyBorder="1" applyAlignment="1">
      <alignment horizontal="right" wrapText="1" shrinkToFit="1"/>
    </xf>
    <xf numFmtId="0" fontId="29" fillId="0" borderId="6" xfId="0" applyNumberFormat="1" applyFont="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4" fontId="24" fillId="0" borderId="61" xfId="0" applyNumberFormat="1" applyFont="1" applyFill="1" applyBorder="1" applyAlignment="1">
      <alignment horizontal="right" shrinkToFit="1"/>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4" fontId="24" fillId="0" borderId="62" xfId="0" applyNumberFormat="1" applyFont="1" applyFill="1" applyBorder="1" applyAlignment="1">
      <alignment horizontal="right" shrinkToFit="1"/>
    </xf>
    <xf numFmtId="168" fontId="39" fillId="0" borderId="5" xfId="0" applyNumberFormat="1" applyFont="1" applyFill="1" applyBorder="1" applyAlignment="1">
      <alignment horizontal="right" shrinkToFit="1"/>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4" fontId="24" fillId="0" borderId="61" xfId="0" applyNumberFormat="1" applyFont="1" applyFill="1" applyBorder="1" applyAlignment="1">
      <alignment horizontal="right" wrapText="1" shrinkToFit="1"/>
    </xf>
    <xf numFmtId="4" fontId="24" fillId="0" borderId="62" xfId="0" applyNumberFormat="1" applyFont="1" applyFill="1" applyBorder="1" applyAlignment="1">
      <alignment horizontal="right" wrapText="1" shrinkToFit="1"/>
    </xf>
    <xf numFmtId="168" fontId="39" fillId="0" borderId="5" xfId="0" applyNumberFormat="1" applyFont="1" applyFill="1" applyBorder="1" applyAlignment="1">
      <alignment horizontal="right" wrapText="1" shrinkToFi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3" fontId="74" fillId="0" borderId="16" xfId="0" applyNumberFormat="1" applyFont="1" applyFill="1" applyBorder="1" applyAlignment="1">
      <alignment horizontal="right" shrinkToFit="1"/>
    </xf>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3" fontId="24" fillId="16" borderId="42" xfId="6" applyNumberFormat="1" applyFont="1" applyFill="1" applyBorder="1" applyAlignment="1">
      <alignment horizontal="right"/>
    </xf>
    <xf numFmtId="166" fontId="41" fillId="16" borderId="75" xfId="0" applyNumberFormat="1" applyFont="1" applyFill="1" applyBorder="1" applyAlignment="1">
      <alignment horizontal="right" shrinkToFit="1"/>
    </xf>
    <xf numFmtId="166" fontId="41" fillId="16" borderId="59" xfId="0" applyNumberFormat="1" applyFont="1" applyFill="1" applyBorder="1" applyAlignment="1">
      <alignment horizontal="right" shrinkToFit="1"/>
    </xf>
    <xf numFmtId="166" fontId="41" fillId="16" borderId="76" xfId="0" applyNumberFormat="1" applyFont="1" applyFill="1" applyBorder="1" applyAlignment="1">
      <alignment horizontal="right" shrinkToFit="1"/>
    </xf>
    <xf numFmtId="166" fontId="40" fillId="16" borderId="42" xfId="0" applyNumberFormat="1" applyFont="1" applyFill="1" applyBorder="1" applyAlignment="1">
      <alignment horizontal="right" vertical="top" shrinkToFit="1"/>
    </xf>
    <xf numFmtId="166" fontId="41" fillId="16" borderId="77" xfId="0" applyNumberFormat="1" applyFont="1" applyFill="1" applyBorder="1" applyAlignment="1">
      <alignment horizontal="right" shrinkToFit="1"/>
    </xf>
    <xf numFmtId="166" fontId="40" fillId="16" borderId="60" xfId="0" applyNumberFormat="1" applyFont="1" applyFill="1" applyBorder="1" applyAlignment="1">
      <alignment horizontal="right" vertical="top"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1" fontId="40" fillId="18" borderId="60" xfId="6" applyNumberFormat="1" applyFont="1" applyFill="1" applyBorder="1" applyAlignment="1">
      <alignment horizontal="right" shrinkToFit="1"/>
    </xf>
    <xf numFmtId="9" fontId="40" fillId="18" borderId="60" xfId="15"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60"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3" fontId="24" fillId="18" borderId="60" xfId="6" applyNumberFormat="1" applyFont="1" applyFill="1" applyBorder="1" applyAlignment="1">
      <alignment horizontal="right" shrinkToFit="1"/>
    </xf>
    <xf numFmtId="1" fontId="24" fillId="18" borderId="60" xfId="6" applyNumberFormat="1" applyFont="1" applyFill="1" applyBorder="1" applyAlignment="1">
      <alignment horizontal="right" shrinkToFit="1"/>
    </xf>
    <xf numFmtId="1" fontId="24" fillId="18" borderId="100" xfId="15"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168" fontId="24" fillId="18" borderId="42" xfId="15" applyNumberFormat="1" applyFont="1" applyFill="1" applyBorder="1" applyAlignment="1">
      <alignment horizontal="right" shrinkToFit="1"/>
    </xf>
    <xf numFmtId="3" fontId="24" fillId="18" borderId="100" xfId="6" applyNumberFormat="1" applyFont="1" applyFill="1" applyBorder="1" applyAlignment="1">
      <alignment horizontal="right" shrinkToFit="1"/>
    </xf>
    <xf numFmtId="49"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3" fontId="24" fillId="18" borderId="107" xfId="6" applyNumberFormat="1" applyFont="1" applyFill="1" applyBorder="1" applyAlignment="1">
      <alignment horizontal="right" shrinkToFit="1"/>
    </xf>
    <xf numFmtId="3" fontId="24" fillId="18" borderId="67" xfId="6" applyNumberFormat="1" applyFont="1" applyFill="1" applyBorder="1" applyAlignment="1">
      <alignment horizontal="right" shrinkToFit="1"/>
    </xf>
    <xf numFmtId="3" fontId="24" fillId="16" borderId="101" xfId="14" applyNumberFormat="1" applyFont="1" applyFill="1" applyBorder="1" applyAlignment="1">
      <alignment horizontal="right" vertical="center"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9"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9"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3" fontId="24" fillId="18" borderId="106" xfId="6" applyNumberFormat="1" applyFont="1" applyFill="1" applyBorder="1" applyAlignment="1">
      <alignment horizontal="right"/>
    </xf>
    <xf numFmtId="1" fontId="24" fillId="18" borderId="111" xfId="6" applyNumberFormat="1" applyFont="1" applyFill="1" applyBorder="1" applyAlignment="1">
      <alignment horizontal="right" shrinkToFit="1"/>
    </xf>
    <xf numFmtId="1" fontId="24" fillId="18" borderId="112" xfId="15" applyNumberFormat="1" applyFont="1" applyFill="1" applyBorder="1" applyAlignment="1">
      <alignment horizontal="right" shrinkToFit="1"/>
    </xf>
    <xf numFmtId="1" fontId="24" fillId="18" borderId="112" xfId="6" applyNumberFormat="1" applyFont="1" applyFill="1" applyBorder="1" applyAlignment="1">
      <alignment horizontal="right" shrinkToFit="1"/>
    </xf>
    <xf numFmtId="166" fontId="24" fillId="18" borderId="110" xfId="6" applyNumberFormat="1" applyFont="1" applyFill="1" applyBorder="1" applyAlignment="1">
      <alignment horizontal="right" shrinkToFit="1"/>
    </xf>
    <xf numFmtId="3" fontId="24" fillId="18" borderId="110" xfId="6" applyNumberFormat="1" applyFont="1" applyFill="1" applyBorder="1" applyAlignment="1">
      <alignment horizontal="right" shrinkToFit="1"/>
    </xf>
    <xf numFmtId="3" fontId="24" fillId="18" borderId="112" xfId="6" applyNumberFormat="1" applyFont="1" applyFill="1" applyBorder="1" applyAlignment="1">
      <alignment horizontal="right" shrinkToFit="1"/>
    </xf>
    <xf numFmtId="1" fontId="24" fillId="18" borderId="113" xfId="15" applyNumberFormat="1" applyFont="1" applyFill="1" applyBorder="1" applyAlignment="1">
      <alignment horizontal="right" shrinkToFit="1"/>
    </xf>
    <xf numFmtId="9" fontId="24" fillId="18" borderId="114" xfId="6" applyNumberFormat="1" applyFont="1" applyFill="1" applyBorder="1" applyAlignment="1">
      <alignment horizontal="right" shrinkToFit="1"/>
    </xf>
    <xf numFmtId="168" fontId="24" fillId="18" borderId="114" xfId="6" applyNumberFormat="1" applyFont="1" applyFill="1" applyBorder="1" applyAlignment="1">
      <alignment horizontal="right" shrinkToFit="1"/>
    </xf>
    <xf numFmtId="1" fontId="24" fillId="18" borderId="107" xfId="6" applyNumberFormat="1" applyFont="1" applyFill="1" applyBorder="1" applyAlignment="1">
      <alignment horizontal="right" shrinkToFit="1"/>
    </xf>
    <xf numFmtId="3" fontId="24" fillId="18" borderId="111" xfId="6" applyNumberFormat="1" applyFont="1" applyFill="1" applyBorder="1" applyAlignment="1">
      <alignment horizontal="right" shrinkToFit="1"/>
    </xf>
    <xf numFmtId="3" fontId="24" fillId="18" borderId="114" xfId="6" applyNumberFormat="1" applyFont="1" applyFill="1" applyBorder="1" applyAlignment="1">
      <alignment horizontal="right" shrinkToFit="1"/>
    </xf>
    <xf numFmtId="3" fontId="24" fillId="18" borderId="115" xfId="6" applyNumberFormat="1" applyFont="1" applyFill="1" applyBorder="1" applyAlignment="1">
      <alignment horizontal="right" shrinkToFit="1"/>
    </xf>
    <xf numFmtId="168" fontId="24" fillId="18" borderId="76"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60"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3" fontId="24" fillId="18" borderId="60" xfId="6" applyNumberFormat="1" applyFont="1" applyFill="1" applyBorder="1" applyAlignment="1">
      <alignment horizontal="right" wrapText="1" shrinkToFit="1"/>
    </xf>
    <xf numFmtId="3" fontId="40" fillId="18" borderId="60" xfId="6" applyNumberFormat="1" applyFont="1" applyFill="1" applyBorder="1" applyAlignment="1">
      <alignment horizontal="right" wrapText="1" shrinkToFit="1"/>
    </xf>
    <xf numFmtId="1" fontId="24" fillId="18" borderId="60" xfId="6" applyNumberFormat="1" applyFont="1" applyFill="1" applyBorder="1" applyAlignment="1">
      <alignment horizontal="right" wrapText="1" shrinkToFit="1"/>
    </xf>
    <xf numFmtId="3" fontId="24" fillId="18" borderId="77" xfId="6" applyNumberFormat="1" applyFont="1" applyFill="1" applyBorder="1" applyAlignment="1">
      <alignment horizontal="right" wrapText="1" shrinkToFit="1"/>
    </xf>
    <xf numFmtId="3" fontId="24" fillId="18" borderId="76" xfId="6" applyNumberFormat="1" applyFont="1" applyFill="1" applyBorder="1" applyAlignment="1">
      <alignment horizontal="right" wrapText="1" shrinkToFit="1"/>
    </xf>
    <xf numFmtId="168" fontId="24" fillId="18" borderId="42" xfId="15"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8" borderId="100" xfId="6" applyNumberFormat="1" applyFont="1" applyFill="1" applyBorder="1" applyAlignment="1">
      <alignment horizontal="right" wrapText="1" shrinkToFit="1"/>
    </xf>
    <xf numFmtId="49"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 fontId="24" fillId="18" borderId="100" xfId="15"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20" borderId="16" xfId="0" applyNumberFormat="1" applyFont="1" applyFill="1" applyBorder="1" applyAlignment="1" applyProtection="1">
      <alignment wrapText="1"/>
      <protection locked="0"/>
    </xf>
    <xf numFmtId="0" fontId="16" fillId="19" borderId="38" xfId="0" applyNumberFormat="1" applyFont="1" applyFill="1" applyBorder="1" applyProtection="1">
      <protection locked="0"/>
    </xf>
    <xf numFmtId="2" fontId="16" fillId="21" borderId="1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1" fillId="2" borderId="6" xfId="15" applyFont="1" applyFill="1" applyBorder="1" applyAlignment="1">
      <alignment horizontal="right" shrinkToFit="1"/>
    </xf>
    <xf numFmtId="9" fontId="39" fillId="0" borderId="6" xfId="15" applyFont="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0" borderId="16" xfId="0" applyNumberFormat="1" applyFont="1" applyFill="1" applyBorder="1" applyAlignment="1" applyProtection="1">
      <alignment wrapText="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21" borderId="35" xfId="0" applyNumberFormat="1" applyFont="1" applyFill="1" applyBorder="1" applyAlignment="1" applyProtection="1">
      <alignment wrapText="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0" borderId="16" xfId="0" applyFont="1" applyBorder="1" applyProtection="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0" fontId="16" fillId="0" borderId="16" xfId="0" applyFont="1" applyBorder="1" applyAlignment="1" applyProtection="1">
      <alignment wrapText="1"/>
      <protection locked="0"/>
    </xf>
    <xf numFmtId="9" fontId="39" fillId="0" borderId="35" xfId="15" applyFont="1" applyFill="1" applyBorder="1" applyAlignment="1">
      <alignment horizontal="right" shrinkToFit="1"/>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1" fillId="2" borderId="6" xfId="0" applyNumberFormat="1" applyFont="1" applyFill="1" applyBorder="1" applyAlignment="1">
      <alignment horizontal="right" shrinkToFit="1"/>
    </xf>
    <xf numFmtId="9" fontId="39" fillId="0" borderId="6" xfId="0" applyNumberFormat="1" applyFont="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24" fillId="18" borderId="60"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9" xfId="0" applyNumberFormat="1" applyFont="1" applyBorder="1" applyAlignment="1">
      <alignment horizontal="right" wrapText="1" shrinkToFit="1"/>
    </xf>
    <xf numFmtId="9" fontId="39" fillId="0" borderId="109"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24" fillId="18" borderId="60"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6" fillId="0" borderId="0" xfId="0" applyFont="1" applyAlignment="1">
      <alignment horizontal="center" vertical="center"/>
    </xf>
    <xf numFmtId="0" fontId="76" fillId="0" borderId="0" xfId="0" applyFont="1" applyBorder="1" applyAlignment="1">
      <alignment horizontal="center" vertical="center"/>
    </xf>
    <xf numFmtId="0" fontId="76"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166" fontId="41" fillId="2" borderId="35" xfId="0" applyNumberFormat="1" applyFont="1" applyFill="1" applyBorder="1" applyAlignment="1">
      <alignment horizontal="right" shrinkToFit="1"/>
    </xf>
    <xf numFmtId="166" fontId="41" fillId="2" borderId="51" xfId="0" applyNumberFormat="1" applyFont="1" applyFill="1" applyBorder="1" applyAlignment="1">
      <alignment horizontal="right" shrinkToFit="1"/>
    </xf>
    <xf numFmtId="2" fontId="41" fillId="2" borderId="72" xfId="15" applyNumberFormat="1" applyFont="1" applyFill="1" applyBorder="1" applyAlignment="1">
      <alignment horizontal="right" shrinkToFit="1"/>
    </xf>
    <xf numFmtId="2" fontId="41" fillId="2" borderId="51" xfId="0" applyNumberFormat="1" applyFont="1" applyFill="1" applyBorder="1" applyAlignment="1">
      <alignment horizontal="right" shrinkToFit="1"/>
    </xf>
    <xf numFmtId="4" fontId="41" fillId="2" borderId="72" xfId="0" applyNumberFormat="1" applyFont="1" applyFill="1" applyBorder="1" applyAlignment="1">
      <alignment horizontal="right" shrinkToFit="1"/>
    </xf>
    <xf numFmtId="4" fontId="41" fillId="2" borderId="74" xfId="0" applyNumberFormat="1" applyFont="1" applyFill="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7" fillId="0" borderId="65" xfId="0" applyFont="1" applyBorder="1"/>
    <xf numFmtId="49" fontId="77" fillId="0" borderId="65" xfId="0" applyNumberFormat="1" applyFont="1" applyBorder="1"/>
    <xf numFmtId="0" fontId="77"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36"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0" fontId="21" fillId="20" borderId="16" xfId="0" applyFont="1" applyFill="1" applyBorder="1" applyAlignment="1" applyProtection="1">
      <alignment wrapText="1"/>
      <protection locked="0"/>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8" xfId="6" applyNumberFormat="1" applyFont="1" applyFill="1" applyBorder="1" applyAlignment="1">
      <alignment horizontal="right"/>
    </xf>
    <xf numFmtId="9" fontId="52" fillId="2" borderId="5" xfId="15" applyFont="1" applyFill="1" applyBorder="1" applyAlignment="1">
      <alignment horizontal="center" wrapText="1"/>
    </xf>
    <xf numFmtId="0" fontId="80"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0" fontId="24" fillId="2" borderId="61" xfId="0" applyNumberFormat="1" applyFont="1" applyFill="1" applyBorder="1" applyAlignment="1">
      <alignment horizontal="right" shrinkToFit="1"/>
    </xf>
    <xf numFmtId="1" fontId="24" fillId="18" borderId="106" xfId="6" applyNumberFormat="1" applyFont="1" applyFill="1" applyBorder="1" applyAlignment="1">
      <alignment horizontal="right" shrinkToFit="1"/>
    </xf>
    <xf numFmtId="0" fontId="29" fillId="0" borderId="61"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7" fillId="0" borderId="0" xfId="0" applyNumberFormat="1" applyFont="1" applyAlignment="1">
      <alignment horizontal="left" wrapText="1"/>
    </xf>
    <xf numFmtId="49" fontId="7"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24" fillId="18" borderId="60" xfId="6" applyNumberFormat="1" applyFont="1" applyFill="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1" xfId="6" applyNumberFormat="1" applyFont="1" applyFill="1" applyBorder="1" applyAlignment="1">
      <alignment horizontal="right" shrinkToFit="1"/>
    </xf>
    <xf numFmtId="9" fontId="29" fillId="0" borderId="5" xfId="0" applyNumberFormat="1" applyFont="1" applyBorder="1" applyAlignment="1">
      <alignment horizontal="right" shrinkToFit="1"/>
    </xf>
    <xf numFmtId="9" fontId="24" fillId="18" borderId="112" xfId="6" applyNumberFormat="1" applyFont="1" applyFill="1" applyBorder="1" applyAlignment="1">
      <alignment horizontal="right" shrinkToFit="1"/>
    </xf>
    <xf numFmtId="9" fontId="29" fillId="0" borderId="62" xfId="0" applyNumberFormat="1" applyFont="1" applyBorder="1" applyAlignment="1">
      <alignment horizontal="right" shrinkToFit="1"/>
    </xf>
    <xf numFmtId="9" fontId="24" fillId="18" borderId="75"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24" fillId="18" borderId="60" xfId="6"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1" fontId="41" fillId="2" borderId="74" xfId="0" applyNumberFormat="1" applyFont="1" applyFill="1" applyBorder="1" applyAlignment="1">
      <alignment horizontal="right" shrinkToFit="1"/>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2" borderId="74" xfId="0" applyNumberFormat="1" applyFont="1" applyFill="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5" fillId="0" borderId="18" xfId="0" applyNumberFormat="1" applyFont="1" applyBorder="1" applyAlignment="1" applyProtection="1">
      <alignment horizontal="right"/>
    </xf>
    <xf numFmtId="0" fontId="15" fillId="13" borderId="85" xfId="0" applyFont="1" applyFill="1" applyBorder="1" applyAlignment="1">
      <alignment horizontal="justify" vertical="top" wrapText="1"/>
    </xf>
    <xf numFmtId="0" fontId="24" fillId="16" borderId="36" xfId="21" applyFont="1" applyFill="1" applyBorder="1" applyAlignment="1">
      <alignment vertical="center" wrapText="1"/>
    </xf>
    <xf numFmtId="0" fontId="24" fillId="16" borderId="12" xfId="21" applyFont="1" applyFill="1" applyBorder="1" applyAlignment="1">
      <alignment vertical="center" wrapTex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8"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21"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5" fillId="8" borderId="7" xfId="0" applyFont="1" applyFill="1" applyBorder="1" applyAlignment="1" applyProtection="1">
      <alignment horizontal="center" vertical="center" textRotation="180" wrapText="1"/>
      <protection locked="0"/>
    </xf>
    <xf numFmtId="0" fontId="5" fillId="8" borderId="69" xfId="0" applyFont="1" applyFill="1" applyBorder="1" applyAlignment="1" applyProtection="1">
      <alignment horizontal="center" vertical="center" textRotation="180" wrapText="1"/>
      <protection locked="0"/>
    </xf>
    <xf numFmtId="0" fontId="5" fillId="8" borderId="44" xfId="0" applyFont="1" applyFill="1" applyBorder="1" applyAlignment="1" applyProtection="1">
      <alignment horizontal="center" vertical="center" wrapText="1"/>
      <protection locked="0"/>
    </xf>
    <xf numFmtId="0" fontId="5" fillId="8" borderId="50" xfId="0" applyFont="1" applyFill="1" applyBorder="1" applyAlignment="1" applyProtection="1">
      <alignment horizontal="center" vertical="center" wrapText="1"/>
      <protection locked="0"/>
    </xf>
    <xf numFmtId="0" fontId="26" fillId="16" borderId="116"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9"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6"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20"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9"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4" fillId="11" borderId="93" xfId="0" applyFont="1" applyFill="1" applyBorder="1" applyAlignment="1">
      <alignment horizontal="center" vertical="center" wrapText="1"/>
    </xf>
    <xf numFmtId="0" fontId="4" fillId="11" borderId="84" xfId="0" applyFont="1" applyFill="1" applyBorder="1" applyAlignment="1">
      <alignment horizontal="center" vertical="center" wrapText="1"/>
    </xf>
    <xf numFmtId="0" fontId="4"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5" borderId="120"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9"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22"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9"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22"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120"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21"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21"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83" fillId="0" borderId="25" xfId="0" applyFont="1" applyFill="1" applyBorder="1" applyAlignment="1">
      <alignment horizontal="center" vertical="center"/>
    </xf>
    <xf numFmtId="0" fontId="83" fillId="0" borderId="26" xfId="0" applyFont="1" applyFill="1" applyBorder="1" applyAlignment="1">
      <alignment horizontal="center" vertical="center"/>
    </xf>
    <xf numFmtId="0" fontId="83" fillId="0" borderId="1" xfId="0" applyFont="1" applyFill="1" applyBorder="1" applyAlignment="1">
      <alignment horizontal="center" vertical="center"/>
    </xf>
    <xf numFmtId="0" fontId="83" fillId="0" borderId="28" xfId="0" applyFont="1" applyFill="1" applyBorder="1" applyAlignment="1">
      <alignment horizontal="center" vertical="center"/>
    </xf>
    <xf numFmtId="0" fontId="83" fillId="0" borderId="3" xfId="0" applyFont="1" applyFill="1" applyBorder="1" applyAlignment="1">
      <alignment horizontal="center" vertical="center"/>
    </xf>
    <xf numFmtId="0" fontId="83" fillId="0" borderId="4" xfId="0" applyFont="1" applyFill="1" applyBorder="1" applyAlignment="1">
      <alignment horizontal="center" vertical="center"/>
    </xf>
    <xf numFmtId="0" fontId="77" fillId="10" borderId="22" xfId="0" applyFont="1" applyFill="1" applyBorder="1" applyAlignment="1">
      <alignment horizontal="center"/>
    </xf>
    <xf numFmtId="0" fontId="77" fillId="10" borderId="23" xfId="0" applyFont="1" applyFill="1" applyBorder="1" applyAlignment="1">
      <alignment horizontal="center"/>
    </xf>
    <xf numFmtId="0" fontId="77"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6"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9"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168" fontId="26" fillId="27" borderId="116"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4" borderId="116"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35"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5" fillId="2" borderId="68"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5" fillId="2" borderId="68" xfId="0" applyFont="1" applyFill="1" applyBorder="1" applyAlignment="1" applyProtection="1">
      <alignment horizontal="center" vertical="center" textRotation="180" wrapText="1"/>
      <protection locked="0"/>
    </xf>
    <xf numFmtId="0" fontId="5" fillId="2" borderId="7" xfId="0" applyFont="1" applyFill="1" applyBorder="1" applyAlignment="1" applyProtection="1">
      <alignment horizontal="center" vertical="center" textRotation="180" wrapText="1"/>
      <protection locked="0"/>
    </xf>
    <xf numFmtId="0" fontId="5"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 fillId="2" borderId="68" xfId="0" applyFont="1" applyFill="1" applyBorder="1" applyAlignment="1" applyProtection="1">
      <alignment horizontal="center" vertical="center" textRotation="90" wrapText="1"/>
      <protection locked="0"/>
    </xf>
    <xf numFmtId="0" fontId="4" fillId="2" borderId="7" xfId="0" applyFont="1" applyFill="1" applyBorder="1" applyAlignment="1" applyProtection="1">
      <alignment horizontal="center" vertical="center" textRotation="90" wrapText="1"/>
      <protection locked="0"/>
    </xf>
    <xf numFmtId="0" fontId="4"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5" fillId="2" borderId="44" xfId="0" applyFont="1" applyFill="1" applyBorder="1" applyAlignment="1" applyProtection="1">
      <alignment horizontal="center" vertical="center" wrapText="1"/>
      <protection locked="0"/>
    </xf>
    <xf numFmtId="0" fontId="5" fillId="2" borderId="65"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93" xfId="0" applyFont="1" applyFill="1" applyBorder="1" applyAlignment="1" applyProtection="1">
      <alignment horizontal="center" vertical="center" wrapText="1"/>
      <protection locked="0"/>
    </xf>
    <xf numFmtId="0" fontId="5" fillId="2" borderId="116" xfId="0" applyFont="1" applyFill="1" applyBorder="1" applyAlignment="1" applyProtection="1">
      <alignment horizontal="center" vertical="center" wrapText="1"/>
      <protection locked="0"/>
    </xf>
    <xf numFmtId="0" fontId="5" fillId="2" borderId="9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119" xfId="0" applyFont="1" applyFill="1" applyBorder="1" applyAlignment="1" applyProtection="1">
      <alignment horizontal="center" vertical="center" wrapText="1"/>
      <protection locked="0"/>
    </xf>
    <xf numFmtId="0" fontId="5" fillId="5" borderId="68" xfId="0" applyFont="1" applyFill="1" applyBorder="1" applyAlignment="1" applyProtection="1">
      <alignment horizontal="center" vertical="center" textRotation="180" wrapText="1"/>
      <protection locked="0"/>
    </xf>
    <xf numFmtId="0" fontId="5" fillId="5" borderId="7" xfId="0" applyFont="1" applyFill="1" applyBorder="1" applyAlignment="1" applyProtection="1">
      <alignment horizontal="center" vertical="center" textRotation="180" wrapText="1"/>
      <protection locked="0"/>
    </xf>
    <xf numFmtId="0" fontId="5"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4" fillId="16" borderId="116"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6"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6"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20"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6" borderId="119"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168" fontId="24" fillId="16" borderId="116"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6"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Fill="1" applyBorder="1" applyAlignment="1">
      <alignment horizontal="center" vertical="center"/>
    </xf>
    <xf numFmtId="0" fontId="84" fillId="0" borderId="23" xfId="0" applyFont="1" applyFill="1" applyBorder="1" applyAlignment="1">
      <alignment horizontal="center" vertical="center"/>
    </xf>
    <xf numFmtId="0" fontId="84" fillId="0" borderId="24" xfId="0" applyFont="1" applyFill="1" applyBorder="1" applyAlignment="1">
      <alignment horizontal="center" vertical="center"/>
    </xf>
    <xf numFmtId="0" fontId="84" fillId="0" borderId="68" xfId="0" applyFont="1" applyFill="1" applyBorder="1" applyAlignment="1">
      <alignment horizontal="center" vertical="center"/>
    </xf>
    <xf numFmtId="0" fontId="84" fillId="0" borderId="69" xfId="0" applyFont="1" applyFill="1" applyBorder="1" applyAlignment="1">
      <alignment horizontal="center" vertical="center"/>
    </xf>
    <xf numFmtId="0" fontId="84"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6"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cellXfs>
  <cellStyles count="28">
    <cellStyle name="Euro" xfId="1"/>
    <cellStyle name="Euro 2" xfId="2"/>
    <cellStyle name="Euro 3" xfId="3"/>
    <cellStyle name="Euro 3 2" xfId="4"/>
    <cellStyle name="Euro 4" xfId="5"/>
    <cellStyle name="Euro 4 2" xfId="22"/>
    <cellStyle name="Millares [0]" xfId="6" builtinId="6"/>
    <cellStyle name="Millares [0] 2" xfId="7"/>
    <cellStyle name="Millares [0] 3" xfId="8"/>
    <cellStyle name="Millares [0] 3 2" xfId="9"/>
    <cellStyle name="Millares [0] 4" xfId="10"/>
    <cellStyle name="Millares [0] 4 2" xfId="24"/>
    <cellStyle name="Millares [0] 5" xfId="23"/>
    <cellStyle name="Normal" xfId="0" builtinId="0"/>
    <cellStyle name="Normal 2" xfId="11"/>
    <cellStyle name="Normal 2 2" xfId="12"/>
    <cellStyle name="Normal 3" xfId="13"/>
    <cellStyle name="Normal 3 2" xfId="25"/>
    <cellStyle name="Normal 4" xfId="21"/>
    <cellStyle name="Normal 5" xfId="20"/>
    <cellStyle name="Normal_cvalencia%nal-98" xfId="14"/>
    <cellStyle name="Porcentaje" xfId="15" builtinId="5"/>
    <cellStyle name="Porcentaje 2" xfId="16"/>
    <cellStyle name="Porcentaje 3" xfId="17"/>
    <cellStyle name="Porcentaje 3 2" xfId="18"/>
    <cellStyle name="Porcentaje 4" xfId="19"/>
    <cellStyle name="Porcentaje 4 2" xfId="27"/>
    <cellStyle name="Porcentaje 5" xfId="26"/>
  </cellStyles>
  <dxfs count="2979">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293</v>
      </c>
    </row>
    <row r="3" spans="1:19" ht="23.25" thickBot="1">
      <c r="A3" s="1543" t="s">
        <v>146</v>
      </c>
      <c r="B3" s="1544"/>
      <c r="C3" s="1544"/>
      <c r="D3" s="1545"/>
      <c r="E3" s="413"/>
      <c r="F3" s="2"/>
      <c r="Q3" s="392">
        <v>1</v>
      </c>
      <c r="R3" s="392">
        <v>3</v>
      </c>
      <c r="S3" t="b">
        <f>AND(Q3&gt;=TrimIni,Q3&lt;=TrimFin)</f>
        <v>1</v>
      </c>
    </row>
    <row r="4" spans="1:19" ht="22.5" customHeight="1" thickBot="1">
      <c r="A4" s="414" t="s">
        <v>1152</v>
      </c>
      <c r="B4" s="413"/>
      <c r="C4" s="413"/>
      <c r="D4" s="413"/>
      <c r="E4" s="413"/>
      <c r="F4" s="2"/>
      <c r="Q4" s="392">
        <v>2</v>
      </c>
      <c r="R4" s="392">
        <v>3</v>
      </c>
      <c r="S4" t="b">
        <f>AND(Q4&gt;=TrimIni,Q4&lt;=TrimFin)</f>
        <v>1</v>
      </c>
    </row>
    <row r="5" spans="1:19" ht="15.75" thickBot="1">
      <c r="A5" s="415" t="s">
        <v>55</v>
      </c>
      <c r="B5" s="416">
        <v>2021</v>
      </c>
      <c r="C5" s="417" t="s">
        <v>280</v>
      </c>
      <c r="D5" s="418">
        <v>1</v>
      </c>
      <c r="E5" s="419"/>
      <c r="F5" s="3"/>
      <c r="H5" t="s">
        <v>548</v>
      </c>
      <c r="Q5" s="392">
        <v>3</v>
      </c>
      <c r="R5" s="392">
        <v>2</v>
      </c>
      <c r="S5" t="b">
        <f>AND(Q5&gt;=TrimIni,Q5&lt;=TrimFin)</f>
        <v>1</v>
      </c>
    </row>
    <row r="6" spans="1:19" ht="15">
      <c r="A6" s="420"/>
      <c r="B6" s="419"/>
      <c r="C6" s="417" t="s">
        <v>281</v>
      </c>
      <c r="D6" s="418">
        <v>4</v>
      </c>
      <c r="E6" s="419"/>
      <c r="F6" s="3"/>
      <c r="Q6" s="392">
        <v>4</v>
      </c>
      <c r="R6" s="392">
        <v>3</v>
      </c>
      <c r="S6" t="b">
        <f>AND(Q6&gt;=TrimIni,Q6&lt;=TrimFin)</f>
        <v>1</v>
      </c>
    </row>
    <row r="7" spans="1:19" ht="13.5" thickBot="1">
      <c r="A7" s="421"/>
      <c r="B7" s="422"/>
      <c r="C7" s="419"/>
      <c r="D7" s="419"/>
      <c r="E7" s="419"/>
      <c r="F7" s="3"/>
      <c r="Q7" s="392"/>
      <c r="R7" s="392"/>
    </row>
    <row r="8" spans="1:19" ht="22.5">
      <c r="A8" s="539"/>
      <c r="B8" s="423"/>
      <c r="C8" s="424"/>
      <c r="D8" s="425"/>
      <c r="E8" s="426"/>
      <c r="F8" s="3"/>
      <c r="Q8" s="392"/>
      <c r="R8" s="393">
        <f>11/SUMIF(S3:S6,TRUE,R3:R6)</f>
        <v>1</v>
      </c>
    </row>
    <row r="9" spans="1:19">
      <c r="A9" s="427" t="s">
        <v>1153</v>
      </c>
      <c r="B9" s="422" t="s">
        <v>1154</v>
      </c>
      <c r="C9" s="419"/>
      <c r="D9" s="419"/>
      <c r="E9" s="428"/>
      <c r="F9" s="3"/>
    </row>
    <row r="10" spans="1:19">
      <c r="A10" s="427" t="s">
        <v>1155</v>
      </c>
      <c r="B10" s="419" t="s">
        <v>1156</v>
      </c>
      <c r="C10" s="419"/>
      <c r="D10" s="419"/>
      <c r="E10" s="428"/>
      <c r="F10" s="3"/>
      <c r="Q10" s="392">
        <v>0</v>
      </c>
    </row>
    <row r="11" spans="1:19" ht="13.5" thickBot="1">
      <c r="A11" s="429" t="s">
        <v>1157</v>
      </c>
      <c r="B11" s="430" t="s">
        <v>1158</v>
      </c>
      <c r="C11" s="430"/>
      <c r="D11" s="430"/>
      <c r="E11" s="431"/>
      <c r="F11" s="3"/>
    </row>
    <row r="12" spans="1:19" ht="40.5" customHeight="1" thickBot="1">
      <c r="A12" s="421"/>
      <c r="B12" s="419"/>
      <c r="C12" s="419"/>
      <c r="D12" s="419"/>
      <c r="E12" s="419"/>
      <c r="F12" s="3"/>
      <c r="Q12" s="1474"/>
    </row>
    <row r="13" spans="1:19" ht="15">
      <c r="A13" s="432" t="s">
        <v>171</v>
      </c>
      <c r="B13" s="433" t="s">
        <v>87</v>
      </c>
      <c r="C13" s="1082" t="s">
        <v>937</v>
      </c>
      <c r="D13" s="419" t="s">
        <v>87</v>
      </c>
      <c r="E13" s="419"/>
      <c r="F13" s="3"/>
    </row>
    <row r="14" spans="1:19" ht="15">
      <c r="A14" s="434" t="s">
        <v>124</v>
      </c>
      <c r="B14" s="435" t="s">
        <v>175</v>
      </c>
      <c r="C14" s="419"/>
      <c r="D14" s="419"/>
      <c r="E14" s="419"/>
      <c r="F14" s="3"/>
    </row>
    <row r="15" spans="1:19" ht="13.5" thickBot="1">
      <c r="A15" s="285"/>
      <c r="B15" s="4"/>
      <c r="C15" s="4"/>
      <c r="D15" s="4"/>
      <c r="E15" s="4"/>
      <c r="F15" s="5"/>
    </row>
    <row r="16" spans="1:19" ht="23.25">
      <c r="A16" s="71"/>
    </row>
  </sheetData>
  <sheetProtection algorithmName="SHA-512" hashValue="zCiup+GSdf27p4cKA91irLaRHsZvcaLOZZZ5uBSuVYwx/8bUEEcQWTWz1ymzM/Hwkq5VInwF+T13V0ASOUzv3w==" saltValue="Iqho9ifrdP2Xik7UrhRm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B9" sqref="B9"/>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3" width="14.28515625" style="1383" customWidth="1"/>
    <col min="24" max="24" width="12.7109375" style="1383" customWidth="1"/>
    <col min="25" max="25" width="13" style="1383" customWidth="1"/>
    <col min="26" max="27" width="12.5703125" style="1383" customWidth="1"/>
    <col min="28" max="28" width="12.7109375" style="1383" customWidth="1"/>
    <col min="29" max="30" width="13" style="1383" customWidth="1"/>
    <col min="31" max="31" width="11.42578125" style="1383" hidden="1" customWidth="1"/>
    <col min="32" max="16384" width="11.42578125" style="1383"/>
  </cols>
  <sheetData>
    <row r="1" spans="1:31" ht="108" customHeight="1">
      <c r="A1" s="1383"/>
    </row>
    <row r="2" spans="1:31">
      <c r="B2" s="584"/>
      <c r="E2" s="1385"/>
    </row>
    <row r="3" spans="1:31" s="537" customFormat="1" ht="13.5" thickBot="1">
      <c r="A3" s="570"/>
      <c r="B3" s="571" t="s">
        <v>472</v>
      </c>
      <c r="E3" s="584"/>
    </row>
    <row r="4" spans="1:31" s="537" customFormat="1" ht="15.75" thickBot="1">
      <c r="A4" s="1451" t="s">
        <v>477</v>
      </c>
      <c r="B4" s="1463" t="str">
        <f>Criterios!B9</f>
        <v>CATALUÑA</v>
      </c>
      <c r="C4" s="1452"/>
      <c r="D4" s="1452"/>
      <c r="E4" s="1453"/>
      <c r="F4" s="1452"/>
      <c r="G4" s="668"/>
      <c r="H4" s="1696" t="s">
        <v>478</v>
      </c>
      <c r="I4" s="1697"/>
      <c r="J4" s="1697"/>
      <c r="K4" s="1697"/>
      <c r="L4" s="1697"/>
      <c r="M4" s="1454"/>
      <c r="N4" s="1696" t="s">
        <v>479</v>
      </c>
      <c r="O4" s="1697"/>
      <c r="P4" s="1697"/>
      <c r="Q4" s="1697"/>
      <c r="R4" s="1697"/>
      <c r="S4" s="1697"/>
      <c r="T4" s="1697"/>
      <c r="U4" s="1697"/>
      <c r="V4" s="1697"/>
      <c r="W4" s="1697"/>
      <c r="X4" s="1697"/>
      <c r="Y4" s="1697"/>
      <c r="Z4" s="1697"/>
      <c r="AA4" s="1697"/>
      <c r="AB4" s="1697"/>
      <c r="AC4" s="1697"/>
      <c r="AD4" s="1698"/>
    </row>
    <row r="5" spans="1:31" s="537" customFormat="1" ht="15.75" customHeight="1">
      <c r="A5" s="1710" t="s">
        <v>468</v>
      </c>
      <c r="B5" s="1712" t="str">
        <f>"Año:  " &amp;Criterios!B5 &amp; "      Trimestre   " &amp;Criterios!D5 &amp; " al " &amp;Criterios!D6</f>
        <v>Año:  2021      Trimestre   1 al 4</v>
      </c>
      <c r="C5" s="1716" t="s">
        <v>340</v>
      </c>
      <c r="D5" s="1718" t="s">
        <v>176</v>
      </c>
      <c r="E5" s="1718" t="s">
        <v>126</v>
      </c>
      <c r="F5" s="1720" t="s">
        <v>14</v>
      </c>
      <c r="G5" s="1702"/>
      <c r="H5" s="1699" t="s">
        <v>473</v>
      </c>
      <c r="I5" s="1722" t="s">
        <v>475</v>
      </c>
      <c r="J5" s="1699" t="s">
        <v>474</v>
      </c>
      <c r="K5" s="1701" t="s">
        <v>390</v>
      </c>
      <c r="L5" s="1701" t="s">
        <v>476</v>
      </c>
      <c r="M5" s="1701" t="s">
        <v>470</v>
      </c>
      <c r="N5" s="1686"/>
      <c r="O5" s="1687"/>
      <c r="P5" s="582"/>
      <c r="Q5" s="1690" t="s">
        <v>600</v>
      </c>
      <c r="R5" s="1691"/>
      <c r="S5" s="1692"/>
      <c r="T5" s="1704"/>
      <c r="U5" s="1705"/>
      <c r="V5" s="1706"/>
      <c r="W5" s="1690" t="s">
        <v>351</v>
      </c>
      <c r="X5" s="1691"/>
      <c r="Y5" s="1691"/>
      <c r="Z5" s="1692"/>
      <c r="AA5" s="1690" t="s">
        <v>595</v>
      </c>
      <c r="AB5" s="1691"/>
      <c r="AC5" s="1691"/>
      <c r="AD5" s="1692"/>
    </row>
    <row r="6" spans="1:31" s="537" customFormat="1" ht="21.75" customHeight="1" thickBot="1">
      <c r="A6" s="1711"/>
      <c r="B6" s="1713"/>
      <c r="C6" s="1717"/>
      <c r="D6" s="1719"/>
      <c r="E6" s="1719"/>
      <c r="F6" s="1721"/>
      <c r="G6" s="1702"/>
      <c r="H6" s="1700"/>
      <c r="I6" s="1723"/>
      <c r="J6" s="1700"/>
      <c r="K6" s="1702"/>
      <c r="L6" s="1702"/>
      <c r="M6" s="1702"/>
      <c r="N6" s="1688"/>
      <c r="O6" s="1689"/>
      <c r="P6" s="1455"/>
      <c r="Q6" s="1693"/>
      <c r="R6" s="1694"/>
      <c r="S6" s="1695"/>
      <c r="T6" s="1707"/>
      <c r="U6" s="1708"/>
      <c r="V6" s="1709"/>
      <c r="W6" s="1693"/>
      <c r="X6" s="1694"/>
      <c r="Y6" s="1694"/>
      <c r="Z6" s="1695"/>
      <c r="AA6" s="1693"/>
      <c r="AB6" s="1694"/>
      <c r="AC6" s="1694"/>
      <c r="AD6" s="1695"/>
    </row>
    <row r="7" spans="1:31" s="537" customFormat="1" ht="84" customHeight="1">
      <c r="A7" s="1711"/>
      <c r="B7" s="1456" t="str">
        <f>Datos!A7</f>
        <v>COMPETENCIAS</v>
      </c>
      <c r="C7" s="1717"/>
      <c r="D7" s="1719"/>
      <c r="E7" s="1719"/>
      <c r="F7" s="1721"/>
      <c r="G7" s="1702"/>
      <c r="H7" s="1700"/>
      <c r="I7" s="1723"/>
      <c r="J7" s="1700"/>
      <c r="K7" s="1702"/>
      <c r="L7" s="1702"/>
      <c r="M7" s="1703"/>
      <c r="N7" s="1457" t="s">
        <v>294</v>
      </c>
      <c r="O7" s="1457" t="s">
        <v>511</v>
      </c>
      <c r="P7" s="1458" t="s">
        <v>512</v>
      </c>
      <c r="Q7" s="1459" t="s">
        <v>513</v>
      </c>
      <c r="R7" s="1458" t="s">
        <v>504</v>
      </c>
      <c r="S7" s="1459" t="s">
        <v>1144</v>
      </c>
      <c r="T7" s="1526" t="s">
        <v>1145</v>
      </c>
      <c r="U7" s="1526" t="s">
        <v>1146</v>
      </c>
      <c r="V7" s="1526" t="s">
        <v>1147</v>
      </c>
      <c r="W7" s="1457" t="s">
        <v>596</v>
      </c>
      <c r="X7" s="1541" t="s">
        <v>1149</v>
      </c>
      <c r="Y7" s="1541" t="s">
        <v>1150</v>
      </c>
      <c r="Z7" s="1542" t="s">
        <v>1151</v>
      </c>
      <c r="AA7" s="1460" t="s">
        <v>596</v>
      </c>
      <c r="AB7" s="1461" t="s">
        <v>597</v>
      </c>
      <c r="AC7" s="1461" t="s">
        <v>598</v>
      </c>
      <c r="AD7" s="1462" t="s">
        <v>599</v>
      </c>
      <c r="AE7" s="1462" t="s">
        <v>1142</v>
      </c>
    </row>
    <row r="8" spans="1:31" ht="15">
      <c r="A8" s="1714" t="str">
        <f>Datos!A8</f>
        <v>Jurisdicción Civil ( 1 ):</v>
      </c>
      <c r="B8" s="1715"/>
      <c r="C8" s="1391"/>
      <c r="D8" s="1391"/>
      <c r="E8" s="1392"/>
      <c r="F8" s="1392"/>
      <c r="G8" s="1392"/>
      <c r="H8" s="1393"/>
      <c r="I8" s="1391"/>
      <c r="J8" s="1393"/>
      <c r="K8" s="1394"/>
      <c r="L8" s="1394"/>
      <c r="M8" s="290"/>
      <c r="N8" s="1394"/>
      <c r="O8" s="1394"/>
      <c r="P8" s="1395"/>
      <c r="Q8" s="1396"/>
      <c r="R8" s="1395"/>
      <c r="S8" s="1396"/>
      <c r="T8" s="1397"/>
      <c r="U8" s="1397"/>
      <c r="V8" s="1399"/>
      <c r="W8" s="1397"/>
      <c r="X8" s="1398"/>
      <c r="Y8" s="1398"/>
      <c r="Z8" s="1399"/>
      <c r="AA8" s="1400"/>
      <c r="AB8" s="1398"/>
      <c r="AC8" s="1398"/>
      <c r="AD8" s="1398"/>
      <c r="AE8" s="1399"/>
    </row>
    <row r="9" spans="1:31" ht="15">
      <c r="A9" s="1401">
        <f>ABS(Datos!AO9)</f>
        <v>0</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t="str">
        <f>IF(ISNUMBER(NºAsuntos!I9/NºAsuntos!G9),(NºAsuntos!I9/NºAsuntos!G9)*11," - ")</f>
        <v xml:space="preserve"> - </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4"/>
      <c r="V9" s="1539" t="str">
        <f>IF(U9="",IF(ISNUMBER(IF(ISNUMBER(S9),S9,0)/((Datos!EU9-Datos!ET9)/Datos!EU9)),IF(ISNUMBER(S9),S9,0)/((Datos!EU9-Datos!ET9)/Datos!EU9)," - "),IF(ISNUMBER(IF(ISNUMBER(S9),S9,0)/((Datos!EU9-U9)/Datos!EU9)),IF(ISNUMBER(S9),S9,0)/((Datos!EU9-U9)/Datos!EU9)))</f>
        <v xml:space="preserve"> - </v>
      </c>
      <c r="W9" s="549" t="str">
        <f>IF(ISNUMBER(Datos!CV9),Datos!CV9," - ")</f>
        <v xml:space="preserve"> - </v>
      </c>
      <c r="X9" s="549" t="str">
        <f>IF(ISNUMBER(Datos!DH9),Datos!DH9," - ")</f>
        <v xml:space="preserve"> - </v>
      </c>
      <c r="Y9" s="549" t="str">
        <f>IF(ISNUMBER(Datos!DI9),Datos!DI9," - ")</f>
        <v xml:space="preserve"> - </v>
      </c>
      <c r="Z9" s="375" t="str">
        <f>IF(ISNUMBER(Datos!DJ9),Datos!DJ9," - ")</f>
        <v xml:space="preserve"> - </v>
      </c>
      <c r="AA9" s="566"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7">
        <v>0</v>
      </c>
    </row>
    <row r="10" spans="1:31" ht="15">
      <c r="A10" s="1401">
        <f>ABS(Datos!AO10)</f>
        <v>1</v>
      </c>
      <c r="B10" s="1464" t="str">
        <f>Datos!A10</f>
        <v>Jdos. Violencia contra la mujer</v>
      </c>
      <c r="C10" s="239">
        <f t="shared" si="0"/>
        <v>76</v>
      </c>
      <c r="D10" s="239">
        <f>IF(ISNUMBER(Datos!I10),Datos!I10," - ")</f>
        <v>76</v>
      </c>
      <c r="E10" s="240">
        <f>IF(ISNUMBER(Datos!J10),Datos!J10," - ")</f>
        <v>60</v>
      </c>
      <c r="F10" s="240">
        <f>IF(ISNUMBER(Datos!K10),Datos!K10," - ")</f>
        <v>25</v>
      </c>
      <c r="G10" s="1392" t="str">
        <f>IF(Datos!E10&lt;&gt;"",Datos!E10,Datos!D10)</f>
        <v>37</v>
      </c>
      <c r="H10" s="241">
        <f>IF(ISNUMBER(Datos!L10),Datos!L10," - ")</f>
        <v>111</v>
      </c>
      <c r="I10" s="1402" t="str">
        <f>IF(ISNUMBER(Datos!AS10/Datos!BM10),Datos!AS10/Datos!BM10," - ")</f>
        <v xml:space="preserve"> - </v>
      </c>
      <c r="J10" s="1403">
        <f>IF(ISNUMBER(Datos!BY10/Datos!CN10),Datos!BY10/Datos!CN10," - ")</f>
        <v>0</v>
      </c>
      <c r="K10" s="244">
        <f t="shared" ref="K10:K13" si="1">IF(ISNUMBER((E10-F10)/C10),(E10-F10)/C10," - ")</f>
        <v>0.46052631578947367</v>
      </c>
      <c r="L10" s="1404">
        <f>IF(ISNUMBER(NºAsuntos!I10/NºAsuntos!G10),(NºAsuntos!I10/NºAsuntos!G10)*11," - ")</f>
        <v>48.84</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4"/>
      <c r="V10" s="1539" t="str">
        <f>IF(U10="",IF(ISNUMBER(IF(ISNUMBER(S10),S10,0)/((Datos!EU10-Datos!ET10)/Datos!EU10)),IF(ISNUMBER(S10),S10,0)/((Datos!EU10-Datos!ET10)/Datos!EU10)," - "),IF(ISNUMBER(IF(ISNUMBER(S10),S10,0)/((Datos!EU10-U10)/Datos!EU10)),IF(ISNUMBER(S10),S10,0)/((Datos!EU10-U10)/Datos!EU10)))</f>
        <v xml:space="preserve"> - </v>
      </c>
      <c r="W10" s="549" t="str">
        <f>IF(ISNUMBER(Datos!CV10),Datos!CV10," - ")</f>
        <v xml:space="preserve"> - </v>
      </c>
      <c r="X10" s="549" t="str">
        <f>IF(ISNUMBER(Datos!DH10),Datos!DH10," - ")</f>
        <v xml:space="preserve"> - </v>
      </c>
      <c r="Y10" s="549" t="str">
        <f>IF(ISNUMBER(Datos!DI10),Datos!DI10," - ")</f>
        <v xml:space="preserve"> - </v>
      </c>
      <c r="Z10" s="375" t="str">
        <f>IF(ISNUMBER(Datos!DJ10),Datos!DJ10," - ")</f>
        <v xml:space="preserve"> - </v>
      </c>
      <c r="AA10" s="566"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7">
        <v>0</v>
      </c>
    </row>
    <row r="11" spans="1:31" ht="15">
      <c r="A11" s="1401">
        <f>ABS(Datos!AO11)</f>
        <v>0</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t="str">
        <f>IF(ISNUMBER(NºAsuntos!I11/NºAsuntos!G11),(NºAsuntos!I11/NºAsuntos!G11)*11," - ")</f>
        <v xml:space="preserve"> - </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4"/>
      <c r="V11" s="1539" t="str">
        <f>IF(U11="",IF(ISNUMBER(IF(ISNUMBER(S11),S11,0)/((Datos!EU11-Datos!ET11)/Datos!EU11)),IF(ISNUMBER(S11),S11,0)/((Datos!EU11-Datos!ET11)/Datos!EU11)," - "),IF(ISNUMBER(IF(ISNUMBER(S11),S11,0)/((Datos!EU11-U11)/Datos!EU11)),IF(ISNUMBER(S11),S11,0)/((Datos!EU11-U11)/Datos!EU11)))</f>
        <v xml:space="preserve"> - </v>
      </c>
      <c r="W11" s="549" t="str">
        <f>IF(ISNUMBER(Datos!CV11),Datos!CV11," - ")</f>
        <v xml:space="preserve"> - </v>
      </c>
      <c r="X11" s="549" t="str">
        <f>IF(ISNUMBER(Datos!DH11),Datos!DH11," - ")</f>
        <v xml:space="preserve"> - </v>
      </c>
      <c r="Y11" s="549" t="str">
        <f>IF(ISNUMBER(Datos!DI11),Datos!DI11," - ")</f>
        <v xml:space="preserve"> - </v>
      </c>
      <c r="Z11" s="375" t="str">
        <f>IF(ISNUMBER(Datos!DJ11),Datos!DJ11," - ")</f>
        <v xml:space="preserve"> - </v>
      </c>
      <c r="AA11" s="566"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7">
        <v>0</v>
      </c>
    </row>
    <row r="12" spans="1:31" ht="15">
      <c r="A12" s="1401">
        <f>ABS(Datos!AO12)</f>
        <v>9</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f>IF(ISNUMBER(NºAsuntos!I12/NºAsuntos!G12),(NºAsuntos!I12/NºAsuntos!G12)*11," - ")</f>
        <v>15.512723521320495</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4"/>
      <c r="V12" s="1539" t="str">
        <f>IF(U12="",IF(ISNUMBER(IF(ISNUMBER(S12),S12,0)/((Datos!EU12-Datos!ET12)/Datos!EU12)),IF(ISNUMBER(S12),S12,0)/((Datos!EU12-Datos!ET12)/Datos!EU12)," - "),IF(ISNUMBER(IF(ISNUMBER(S12),S12,0)/((Datos!EU12-U12)/Datos!EU12)),IF(ISNUMBER(S12),S12,0)/((Datos!EU12-U12)/Datos!EU12)))</f>
        <v xml:space="preserve"> - </v>
      </c>
      <c r="W12" s="549" t="str">
        <f>IF(ISNUMBER(Datos!CV12),Datos!CV12," - ")</f>
        <v xml:space="preserve"> - </v>
      </c>
      <c r="X12" s="549" t="str">
        <f>IF(ISNUMBER(Datos!DH12),Datos!DH12," - ")</f>
        <v xml:space="preserve"> - </v>
      </c>
      <c r="Y12" s="549" t="str">
        <f>IF(ISNUMBER(Datos!DI12),Datos!DI12," - ")</f>
        <v xml:space="preserve"> - </v>
      </c>
      <c r="Z12" s="375" t="str">
        <f>IF(ISNUMBER(Datos!DJ12),Datos!DJ12," - ")</f>
        <v xml:space="preserve"> - </v>
      </c>
      <c r="AA12" s="566"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7">
        <v>0</v>
      </c>
    </row>
    <row r="13" spans="1:31" ht="15">
      <c r="A13" s="1401">
        <f>ABS(Datos!AO13)</f>
        <v>0</v>
      </c>
      <c r="B13" s="1464"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2" t="str">
        <f>IF(Datos!E13&lt;&gt;"",Datos!E13,Datos!D13)</f>
        <v>07</v>
      </c>
      <c r="H13" s="241" t="str">
        <f>IF(ISNUMBER(Datos!L13),Datos!L13," - ")</f>
        <v xml:space="preserve"> - </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4"/>
      <c r="V13" s="1539" t="str">
        <f>IF(U13="",IF(ISNUMBER(IF(ISNUMBER(S13),S13,0)/((Datos!EU13-Datos!ET13)/Datos!EU13)),IF(ISNUMBER(S13),S13,0)/((Datos!EU13-Datos!ET13)/Datos!EU13)," - "),IF(ISNUMBER(IF(ISNUMBER(S13),S13,0)/((Datos!EU13-U13)/Datos!EU13)),IF(ISNUMBER(S13),S13,0)/((Datos!EU13-U13)/Datos!EU13)))</f>
        <v xml:space="preserve"> - </v>
      </c>
      <c r="W13" s="549" t="str">
        <f>IF(ISNUMBER(Datos!CV13),Datos!CV13," - ")</f>
        <v xml:space="preserve"> - </v>
      </c>
      <c r="X13" s="549" t="str">
        <f>IF(ISNUMBER(Datos!DH13),Datos!DH13," - ")</f>
        <v xml:space="preserve"> - </v>
      </c>
      <c r="Y13" s="549" t="str">
        <f>IF(ISNUMBER(Datos!DI13),Datos!DI13," - ")</f>
        <v xml:space="preserve"> - </v>
      </c>
      <c r="Z13" s="375" t="str">
        <f>IF(ISNUMBER(Datos!DJ13),Datos!DJ13," - ")</f>
        <v xml:space="preserve"> - </v>
      </c>
      <c r="AA13" s="566"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7">
        <v>0</v>
      </c>
    </row>
    <row r="14" spans="1:31" ht="15">
      <c r="A14" s="1408"/>
      <c r="B14" s="1465" t="str">
        <f>Datos!A14</f>
        <v>TOTAL</v>
      </c>
      <c r="C14" s="1409">
        <f>SUBTOTAL(9,C9:C13)</f>
        <v>76</v>
      </c>
      <c r="D14" s="1409">
        <f>SUBTOTAL(9,D9:D13)</f>
        <v>76</v>
      </c>
      <c r="E14" s="1410">
        <f>SUBTOTAL(9,E9:E13)</f>
        <v>60</v>
      </c>
      <c r="F14" s="1411">
        <f>SUBTOTAL(9,F9:F13)</f>
        <v>25</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535"/>
      <c r="V14" s="1531">
        <f ca="1">SUMIF(G$8:G13,G14,V$8:V13)</f>
        <v>0</v>
      </c>
      <c r="W14" s="1421">
        <f ca="1">SUMIF($G$8:$G13,$G14,W$8:W13)</f>
        <v>0</v>
      </c>
      <c r="X14" s="1421">
        <f ca="1">SUMIF($G$8:$G13,$G14,X$8:X13)</f>
        <v>0</v>
      </c>
      <c r="Y14" s="1421">
        <f ca="1">SUMIF($G$8:$G13,$G14,Y$8:Y13)</f>
        <v>0</v>
      </c>
      <c r="Z14" s="1412">
        <f ca="1">SUMIF($G$8:$G13,$G14,Z$8:Z13)</f>
        <v>0</v>
      </c>
      <c r="AA14" s="1422">
        <f ca="1">SUMIF($G$8:$G13,$G14,AA$8:AA13)</f>
        <v>0</v>
      </c>
      <c r="AB14" s="1421">
        <f ca="1">SUMIF($G$8:$G13,$G14,AB$8:AB13)</f>
        <v>0</v>
      </c>
      <c r="AC14" s="1421">
        <f ca="1">SUMIF($G$8:$G13,$G14,AC$8:AC13)</f>
        <v>0</v>
      </c>
      <c r="AD14" s="1423">
        <f ca="1">SUMIF($G$8:$G13,$G14,AD$8:AD13)</f>
        <v>0</v>
      </c>
      <c r="AE14" s="1527"/>
    </row>
    <row r="15" spans="1:31" ht="15">
      <c r="A15" s="1714" t="str">
        <f>Datos!A15</f>
        <v xml:space="preserve">Jurisdicción Penal ( 2 ):                      </v>
      </c>
      <c r="B15" s="1715"/>
      <c r="C15" s="373"/>
      <c r="D15" s="373"/>
      <c r="E15" s="1424"/>
      <c r="F15" s="1424"/>
      <c r="G15" s="1424"/>
      <c r="H15" s="242"/>
      <c r="I15" s="373"/>
      <c r="J15" s="242"/>
      <c r="K15" s="244"/>
      <c r="L15" s="244"/>
      <c r="M15" s="242"/>
      <c r="N15" s="244"/>
      <c r="O15" s="1425"/>
      <c r="P15" s="1426"/>
      <c r="Q15" s="1427"/>
      <c r="R15" s="1428"/>
      <c r="S15" s="1425"/>
      <c r="T15" s="1392"/>
      <c r="U15" s="1536"/>
      <c r="V15" s="1532"/>
      <c r="W15" s="1429"/>
      <c r="X15" s="1398"/>
      <c r="Y15" s="1398"/>
      <c r="Z15" s="1399"/>
      <c r="AA15" s="1406"/>
      <c r="AB15" s="690"/>
      <c r="AC15" s="690"/>
      <c r="AD15" s="1407"/>
      <c r="AE15" s="1527"/>
    </row>
    <row r="16" spans="1:31" ht="15">
      <c r="A16" s="1401">
        <f>ABS(Datos!AO16)</f>
        <v>0</v>
      </c>
      <c r="B16" s="1464"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2" t="str">
        <f>IF(Datos!E16&lt;&gt;"",Datos!E16,Datos!D16)</f>
        <v>03</v>
      </c>
      <c r="H16" s="241" t="str">
        <f>IF(ISNUMBER(IF(D_I="SI",Datos!L16,Datos!L16+Datos!AF16)),IF(D_I="SI",Datos!L16,Datos!L16+Datos!AF16)," - ")</f>
        <v xml:space="preserve"> - </v>
      </c>
      <c r="I16" s="1402" t="str">
        <f>IF(ISNUMBER(Datos!AS16/Datos!BM16),Datos!AS16/Datos!BM16," - ")</f>
        <v xml:space="preserve"> - </v>
      </c>
      <c r="J16" s="1403">
        <f>IF(ISNUMBER(Datos!BY16/Datos!CN16),Datos!BY16/Datos!CN16," - ")</f>
        <v>0</v>
      </c>
      <c r="K16" s="244" t="str">
        <f t="shared" ref="K16:K22" si="3">IF(ISNUMBER((E16-F16)/C16),(E16-F16)/C16," - ")</f>
        <v xml:space="preserve"> - </v>
      </c>
      <c r="L16" s="1404" t="str">
        <f>IF(ISNUMBER(NºAsuntos!I16/NºAsuntos!G16),(NºAsuntos!I16/NºAsuntos!G16)*11," - ")</f>
        <v xml:space="preserve"> - </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4"/>
      <c r="V16" s="1539" t="str">
        <f>IF(U16="",IF(ISNUMBER(IF(ISNUMBER(S16),S16,0)/((Datos!EU16-Datos!ET16)/Datos!EU16)),IF(ISNUMBER(S16),S16,0)/((Datos!EU16-Datos!ET16)/Datos!EU16)," - "),IF(ISNUMBER(IF(ISNUMBER(S16),S16,0)/((Datos!EU16-U16)/Datos!EU16)),IF(ISNUMBER(S16),S16,0)/((Datos!EU16-U16)/Datos!EU16)))</f>
        <v xml:space="preserve"> - </v>
      </c>
      <c r="W16" s="549" t="str">
        <f>IF(ISNUMBER(Datos!CV16),Datos!CV16," - ")</f>
        <v xml:space="preserve"> - </v>
      </c>
      <c r="X16" s="549" t="str">
        <f>IF(ISNUMBER(Datos!DH16),Datos!DH16," - ")</f>
        <v xml:space="preserve"> - </v>
      </c>
      <c r="Y16" s="549" t="str">
        <f>IF(ISNUMBER(Datos!DI16),Datos!DI16," - ")</f>
        <v xml:space="preserve"> - </v>
      </c>
      <c r="Z16" s="375" t="str">
        <f>IF(ISNUMBER(Datos!DJ16),Datos!DJ16," - ")</f>
        <v xml:space="preserve"> - </v>
      </c>
      <c r="AA16" s="566"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7">
        <v>0</v>
      </c>
    </row>
    <row r="17" spans="1:31" ht="15">
      <c r="A17" s="1401">
        <f>ABS(Datos!AO17)</f>
        <v>9</v>
      </c>
      <c r="B17" s="1464" t="str">
        <f>Datos!A17</f>
        <v xml:space="preserve">Jdos. 1ª Instª. e Instr.                        </v>
      </c>
      <c r="C17" s="239">
        <f t="shared" si="2"/>
        <v>2707</v>
      </c>
      <c r="D17" s="239">
        <f>IF(ISNUMBER(IF(D_I="SI",Datos!I17,Datos!I17+Datos!AC17)),IF(D_I="SI",Datos!I17,Datos!I17+Datos!AC17)," - ")</f>
        <v>3086</v>
      </c>
      <c r="E17" s="240">
        <f>IF(ISNUMBER(IF(D_I="SI",Datos!J17,Datos!J17+Datos!AD17)),IF(D_I="SI",Datos!J17,Datos!J17+Datos!AD17)," - ")</f>
        <v>8381</v>
      </c>
      <c r="F17" s="240">
        <f>IF(ISNUMBER(IF(D_I="SI",Datos!K17,Datos!K17+Datos!AE17)),IF(D_I="SI",Datos!K17,Datos!K17+Datos!AE17)," - ")</f>
        <v>7449</v>
      </c>
      <c r="G17" s="1392" t="str">
        <f>IF(Datos!E17&lt;&gt;"",Datos!E17,Datos!D17)</f>
        <v>04</v>
      </c>
      <c r="H17" s="241">
        <f>IF(ISNUMBER(IF(D_I="SI",Datos!L17,Datos!L17+Datos!AF17)),IF(D_I="SI",Datos!L17,Datos!L17+Datos!AF17)," - ")</f>
        <v>3639</v>
      </c>
      <c r="I17" s="1402" t="str">
        <f>IF(ISNUMBER(Datos!AS17/Datos!BM17),Datos!AS17/Datos!BM17," - ")</f>
        <v xml:space="preserve"> - </v>
      </c>
      <c r="J17" s="1403">
        <f>IF(ISNUMBER(Datos!BY17/Datos!CN17),Datos!BY17/Datos!CN17," - ")</f>
        <v>0</v>
      </c>
      <c r="K17" s="244">
        <f t="shared" si="3"/>
        <v>0.34429257480605835</v>
      </c>
      <c r="L17" s="1404">
        <f>IF(ISNUMBER(NºAsuntos!I17/NºAsuntos!G17),(NºAsuntos!I17/NºAsuntos!G17)*11," - ")</f>
        <v>5.3737414418042686</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4"/>
      <c r="V17" s="1539" t="str">
        <f>IF(U17="",IF(ISNUMBER(IF(ISNUMBER(S17),S17,0)/((Datos!EU17-Datos!ET17)/Datos!EU17)),IF(ISNUMBER(S17),S17,0)/((Datos!EU17-Datos!ET17)/Datos!EU17)," - "),IF(ISNUMBER(IF(ISNUMBER(S17),S17,0)/((Datos!EU17-U17)/Datos!EU17)),IF(ISNUMBER(S17),S17,0)/((Datos!EU17-U17)/Datos!EU17)))</f>
        <v xml:space="preserve"> - </v>
      </c>
      <c r="W17" s="549" t="str">
        <f>IF(ISNUMBER(Datos!CV17),Datos!CV17," - ")</f>
        <v xml:space="preserve"> - </v>
      </c>
      <c r="X17" s="549" t="str">
        <f>IF(ISNUMBER(Datos!DH17),Datos!DH17," - ")</f>
        <v xml:space="preserve"> - </v>
      </c>
      <c r="Y17" s="549" t="str">
        <f>IF(ISNUMBER(Datos!DI17),Datos!DI17," - ")</f>
        <v xml:space="preserve"> - </v>
      </c>
      <c r="Z17" s="375" t="str">
        <f>IF(ISNUMBER(Datos!DJ17),Datos!DJ17," - ")</f>
        <v xml:space="preserve"> - </v>
      </c>
      <c r="AA17" s="566"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7">
        <v>0</v>
      </c>
    </row>
    <row r="18" spans="1:31" ht="15">
      <c r="A18" s="1401">
        <f>ABS(Datos!AO18)</f>
        <v>1</v>
      </c>
      <c r="B18" s="1464" t="str">
        <f>Datos!A18</f>
        <v>Jdos. Violencia contra la mujer</v>
      </c>
      <c r="C18" s="239">
        <f t="shared" si="2"/>
        <v>107</v>
      </c>
      <c r="D18" s="239">
        <f>IF(ISNUMBER(IF(D_I="SI",Datos!I18,Datos!I18+Datos!AC18)),IF(D_I="SI",Datos!I18,Datos!I18+Datos!AC18)," - ")</f>
        <v>253</v>
      </c>
      <c r="E18" s="240">
        <f>IF(ISNUMBER(IF(D_I="SI",Datos!J18,Datos!J18+Datos!AD18)),IF(D_I="SI",Datos!J18,Datos!J18+Datos!AD18)," - ")</f>
        <v>524</v>
      </c>
      <c r="F18" s="240">
        <f>IF(ISNUMBER(IF(D_I="SI",Datos!K18,Datos!K18+Datos!AE18)),IF(D_I="SI",Datos!K18,Datos!K18+Datos!AE18)," - ")</f>
        <v>375</v>
      </c>
      <c r="G18" s="1392" t="str">
        <f>IF(Datos!E18&lt;&gt;"",Datos!E18,Datos!D18)</f>
        <v>37</v>
      </c>
      <c r="H18" s="241">
        <f>IF(ISNUMBER(IF(D_I="SI",Datos!L18,Datos!L18+Datos!AF18)),IF(D_I="SI",Datos!L18,Datos!L18+Datos!AF18)," - ")</f>
        <v>256</v>
      </c>
      <c r="I18" s="1402" t="str">
        <f>IF(ISNUMBER(Datos!AS18/Datos!BM18),Datos!AS18/Datos!BM18," - ")</f>
        <v xml:space="preserve"> - </v>
      </c>
      <c r="J18" s="1403" t="str">
        <f>IF(ISNUMBER((Datos!BY18+Datos!BZ18)/Datos!CN18),(Datos!BY18+Datos!BZ18)/Datos!CN18," - ")</f>
        <v xml:space="preserve"> - </v>
      </c>
      <c r="K18" s="244">
        <f t="shared" si="3"/>
        <v>1.3925233644859814</v>
      </c>
      <c r="L18" s="1404">
        <f>IF(ISNUMBER(NºAsuntos!I18/NºAsuntos!G18),(NºAsuntos!I18/NºAsuntos!G18)*11," - ")</f>
        <v>7.5093333333333332</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4"/>
      <c r="V18" s="1539" t="str">
        <f>IF(U18="",IF(ISNUMBER(IF(ISNUMBER(S18),S18,0)/((Datos!EU18-Datos!ET18)/Datos!EU18)),IF(ISNUMBER(S18),S18,0)/((Datos!EU18-Datos!ET18)/Datos!EU18)," - "),IF(ISNUMBER(IF(ISNUMBER(S18),S18,0)/((Datos!EU18-U18)/Datos!EU18)),IF(ISNUMBER(S18),S18,0)/((Datos!EU18-U18)/Datos!EU18)))</f>
        <v xml:space="preserve"> - </v>
      </c>
      <c r="W18" s="549" t="str">
        <f>IF(ISNUMBER(Datos!CV18),Datos!CV18," - ")</f>
        <v xml:space="preserve"> - </v>
      </c>
      <c r="X18" s="549" t="str">
        <f>IF(ISNUMBER(Datos!DH18),Datos!DH18," - ")</f>
        <v xml:space="preserve"> - </v>
      </c>
      <c r="Y18" s="549" t="str">
        <f>IF(ISNUMBER(Datos!DI18),Datos!DI18," - ")</f>
        <v xml:space="preserve"> - </v>
      </c>
      <c r="Z18" s="375" t="str">
        <f>IF(ISNUMBER(Datos!DJ18),Datos!DJ18," - ")</f>
        <v xml:space="preserve"> - </v>
      </c>
      <c r="AA18" s="566"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7">
        <v>0</v>
      </c>
    </row>
    <row r="19" spans="1:31" ht="15">
      <c r="A19" s="1401">
        <f>ABS(Datos!AO19)</f>
        <v>0</v>
      </c>
      <c r="B19" s="1464"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2" t="str">
        <f>IF(Datos!E19&lt;&gt;"",Datos!E19,Datos!D19)</f>
        <v>07</v>
      </c>
      <c r="H19" s="241" t="str">
        <f>IF(ISNUMBER(Datos!L19),Datos!L19," - ")</f>
        <v xml:space="preserve"> - </v>
      </c>
      <c r="I19" s="1402" t="str">
        <f>IF(ISNUMBER(Datos!AS19/Datos!BM19),Datos!AS19/Datos!BM19," - ")</f>
        <v xml:space="preserve"> - </v>
      </c>
      <c r="J19" s="1403">
        <f>IF(ISNUMBER(Datos!BY19/Datos!CN19),Datos!BY19/Datos!CN19," - ")</f>
        <v>0</v>
      </c>
      <c r="K19" s="244" t="str">
        <f t="shared" si="3"/>
        <v xml:space="preserve"> - </v>
      </c>
      <c r="L19" s="1404" t="str">
        <f>IF(ISNUMBER(NºAsuntos!I19/NºAsuntos!G19),(NºAsuntos!I19/NºAsuntos!G19)*11," - ")</f>
        <v xml:space="preserve"> - </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4"/>
      <c r="V19" s="1539" t="str">
        <f>IF(U19="",IF(ISNUMBER(IF(ISNUMBER(S19),S19,0)/((Datos!EU19-Datos!ET19)/Datos!EU19)),IF(ISNUMBER(S19),S19,0)/((Datos!EU19-Datos!ET19)/Datos!EU19)," - "),IF(ISNUMBER(IF(ISNUMBER(S19),S19,0)/((Datos!EU19-U19)/Datos!EU19)),IF(ISNUMBER(S19),S19,0)/((Datos!EU19-U19)/Datos!EU19)))</f>
        <v xml:space="preserve"> - </v>
      </c>
      <c r="W19" s="549" t="str">
        <f>IF(ISNUMBER(Datos!CV19),Datos!CV19," - ")</f>
        <v xml:space="preserve"> - </v>
      </c>
      <c r="X19" s="549" t="str">
        <f>IF(ISNUMBER(Datos!DH19),Datos!DH19," - ")</f>
        <v xml:space="preserve"> - </v>
      </c>
      <c r="Y19" s="549" t="str">
        <f>IF(ISNUMBER(Datos!DI19),Datos!DI19," - ")</f>
        <v xml:space="preserve"> - </v>
      </c>
      <c r="Z19" s="375" t="str">
        <f>IF(ISNUMBER(Datos!DJ19),Datos!DJ19," - ")</f>
        <v xml:space="preserve"> - </v>
      </c>
      <c r="AA19" s="566"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7">
        <v>0</v>
      </c>
    </row>
    <row r="20" spans="1:31" ht="15">
      <c r="A20" s="1401">
        <f>ABS(Datos!AO20)</f>
        <v>0</v>
      </c>
      <c r="B20" s="1464"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2" t="str">
        <f>IF(Datos!E20&lt;&gt;"",Datos!E20,Datos!D20)</f>
        <v>08</v>
      </c>
      <c r="H20" s="241" t="str">
        <f>IF(ISNUMBER(Datos!L20),Datos!L20," - ")</f>
        <v xml:space="preserve"> - </v>
      </c>
      <c r="I20" s="1402" t="str">
        <f>IF(ISNUMBER(Datos!AS20/Datos!BM20),Datos!AS20/Datos!BM20," - ")</f>
        <v xml:space="preserve"> - </v>
      </c>
      <c r="J20" s="1403">
        <f>IF(ISNUMBER(Datos!BY20/Datos!CN20),Datos!BY20/Datos!CN20," - ")</f>
        <v>0</v>
      </c>
      <c r="K20" s="244" t="str">
        <f t="shared" si="3"/>
        <v xml:space="preserve"> - </v>
      </c>
      <c r="L20" s="1404" t="str">
        <f>IF(ISNUMBER(NºAsuntos!I20/NºAsuntos!G20),(NºAsuntos!I20/NºAsuntos!G20)*11," - ")</f>
        <v xml:space="preserve"> - </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4"/>
      <c r="V20" s="1539" t="str">
        <f>IF(U20="",IF(ISNUMBER(IF(ISNUMBER(S20),S20,0)/((Datos!EU20-Datos!ET20)/Datos!EU20)),IF(ISNUMBER(S20),S20,0)/((Datos!EU20-Datos!ET20)/Datos!EU20)," - "),IF(ISNUMBER(IF(ISNUMBER(S20),S20,0)/((Datos!EU20-U20)/Datos!EU20)),IF(ISNUMBER(S20),S20,0)/((Datos!EU20-U20)/Datos!EU20)))</f>
        <v xml:space="preserve"> - </v>
      </c>
      <c r="W20" s="549" t="str">
        <f>IF(ISNUMBER(Datos!CV20),Datos!CV20," - ")</f>
        <v xml:space="preserve"> - </v>
      </c>
      <c r="X20" s="549" t="str">
        <f>IF(ISNUMBER(Datos!DH20),Datos!DH20," - ")</f>
        <v xml:space="preserve"> - </v>
      </c>
      <c r="Y20" s="549" t="str">
        <f>IF(ISNUMBER(Datos!DI20),Datos!DI20," - ")</f>
        <v xml:space="preserve"> - </v>
      </c>
      <c r="Z20" s="375" t="str">
        <f>IF(ISNUMBER(Datos!DJ20),Datos!DJ20," - ")</f>
        <v xml:space="preserve"> - </v>
      </c>
      <c r="AA20" s="566"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7">
        <v>0</v>
      </c>
    </row>
    <row r="21" spans="1:31" ht="15">
      <c r="A21" s="1401">
        <f>ABS(Datos!AO21)</f>
        <v>4</v>
      </c>
      <c r="B21" s="1464" t="str">
        <f>Datos!A21</f>
        <v xml:space="preserve">Jdos. de lo Penal                               </v>
      </c>
      <c r="C21" s="239">
        <f t="shared" si="2"/>
        <v>2408</v>
      </c>
      <c r="D21" s="239">
        <f>IF(ISNUMBER(Datos!I21),Datos!I21," - ")</f>
        <v>2408</v>
      </c>
      <c r="E21" s="240">
        <f>IF(ISNUMBER(Datos!J21),Datos!J21," - ")</f>
        <v>1893</v>
      </c>
      <c r="F21" s="240">
        <f>IF(ISNUMBER(Datos!K21),Datos!K21," - ")</f>
        <v>1978</v>
      </c>
      <c r="G21" s="1392" t="str">
        <f>IF(Datos!E21&lt;&gt;"",Datos!E21,Datos!D21)</f>
        <v>09</v>
      </c>
      <c r="H21" s="241">
        <f>IF(ISNUMBER(Datos!L21),Datos!L21," - ")</f>
        <v>2323</v>
      </c>
      <c r="I21" s="1402" t="str">
        <f>IF(ISNUMBER(Datos!AS21/Datos!BM21),Datos!AS21/Datos!BM21," - ")</f>
        <v xml:space="preserve"> - </v>
      </c>
      <c r="J21" s="1403" t="str">
        <f>IF(ISNUMBER(Datos!BY21/Datos!CN21),Datos!BY21/Datos!CN21," - ")</f>
        <v xml:space="preserve"> - </v>
      </c>
      <c r="K21" s="244">
        <f t="shared" si="3"/>
        <v>-3.5299003322259138E-2</v>
      </c>
      <c r="L21" s="1404">
        <f>IF(ISNUMBER(NºAsuntos!I21/NºAsuntos!G21),(NºAsuntos!I21/NºAsuntos!G21)*11," - ")</f>
        <v>12.918604651162791</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4"/>
      <c r="V21" s="1539" t="str">
        <f>IF(U21="",IF(ISNUMBER(IF(ISNUMBER(S21),S21,0)/((Datos!EU21-Datos!ET21)/Datos!EU21)),IF(ISNUMBER(S21),S21,0)/((Datos!EU21-Datos!ET21)/Datos!EU21)," - "),IF(ISNUMBER(IF(ISNUMBER(S21),S21,0)/((Datos!EU21-U21)/Datos!EU21)),IF(ISNUMBER(S21),S21,0)/((Datos!EU21-U21)/Datos!EU21)))</f>
        <v xml:space="preserve"> - </v>
      </c>
      <c r="W21" s="549" t="str">
        <f>IF(ISNUMBER(Datos!CV21),Datos!CV21," - ")</f>
        <v xml:space="preserve"> - </v>
      </c>
      <c r="X21" s="549" t="str">
        <f>IF(ISNUMBER(Datos!DH21),Datos!DH21," - ")</f>
        <v xml:space="preserve"> - </v>
      </c>
      <c r="Y21" s="549" t="str">
        <f>IF(ISNUMBER(Datos!DI21),Datos!DI21," - ")</f>
        <v xml:space="preserve"> - </v>
      </c>
      <c r="Z21" s="375" t="str">
        <f>IF(ISNUMBER(Datos!DJ21),Datos!DJ21," - ")</f>
        <v xml:space="preserve"> - </v>
      </c>
      <c r="AA21" s="566"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7">
        <v>0</v>
      </c>
    </row>
    <row r="22" spans="1:31"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4"/>
      <c r="V22" s="1539" t="str">
        <f>IF(U22="",IF(ISNUMBER(IF(ISNUMBER(S22),S22,0)/((Datos!EU22-Datos!ET22)/Datos!EU22)),IF(ISNUMBER(S22),S22,0)/((Datos!EU22-Datos!ET22)/Datos!EU22)," - "),IF(ISNUMBER(IF(ISNUMBER(S22),S22,0)/((Datos!EU22-U22)/Datos!EU22)),IF(ISNUMBER(S22),S22,0)/((Datos!EU22-U22)/Datos!EU22)))</f>
        <v xml:space="preserve"> - </v>
      </c>
      <c r="W22" s="549" t="str">
        <f>IF(ISNUMBER(Datos!CV22),Datos!CV22," - ")</f>
        <v xml:space="preserve"> - </v>
      </c>
      <c r="X22" s="549" t="str">
        <f>IF(ISNUMBER(Datos!DH22),Datos!DH22," - ")</f>
        <v xml:space="preserve"> - </v>
      </c>
      <c r="Y22" s="549" t="str">
        <f>IF(ISNUMBER(Datos!DI22),Datos!DI22," - ")</f>
        <v xml:space="preserve"> - </v>
      </c>
      <c r="Z22" s="375" t="str">
        <f>IF(ISNUMBER(Datos!DJ22),Datos!DJ22," - ")</f>
        <v xml:space="preserve"> - </v>
      </c>
      <c r="AA22" s="566"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7">
        <v>0</v>
      </c>
    </row>
    <row r="23" spans="1:31" ht="15">
      <c r="A23" s="1408"/>
      <c r="B23" s="1465" t="str">
        <f>Datos!A23</f>
        <v>TOTAL</v>
      </c>
      <c r="C23" s="1409">
        <f>SUBTOTAL(9,C16:C22)</f>
        <v>5222</v>
      </c>
      <c r="D23" s="1409">
        <f>SUBTOTAL(9,D16:D22)</f>
        <v>5747</v>
      </c>
      <c r="E23" s="1410">
        <f>SUBTOTAL(9,E16:E22)</f>
        <v>10798</v>
      </c>
      <c r="F23" s="1410">
        <f>SUBTOTAL(9,F16:F22)</f>
        <v>9802</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535"/>
      <c r="V23" s="1531">
        <f ca="1">SUMIF(G$15:G22,G23,V$15:V22)</f>
        <v>0</v>
      </c>
      <c r="W23" s="1421">
        <f ca="1">SUMIF($G$15:$G22,$G23,W$15:W22)</f>
        <v>0</v>
      </c>
      <c r="X23" s="1421">
        <f ca="1">SUMIF($G$15:$G22,$G23,X$15:X22)</f>
        <v>0</v>
      </c>
      <c r="Y23" s="1421">
        <f ca="1">SUMIF($G$15:$G22,$G23,Y$15:Y22)</f>
        <v>0</v>
      </c>
      <c r="Z23" s="1412">
        <f ca="1">SUMIF($G$15:$G22,$G23,Z$15:Z22)</f>
        <v>0</v>
      </c>
      <c r="AA23" s="1422">
        <f ca="1">SUMIF($G$15:$G22,$G23,AA$15:AA22)</f>
        <v>0</v>
      </c>
      <c r="AB23" s="1421">
        <f ca="1">SUMIF($G$15:$G22,$G23,AB$15:AB22)</f>
        <v>0</v>
      </c>
      <c r="AC23" s="1421">
        <f ca="1">SUMIF($G$15:$G22,$G23,AC$15:AC22)</f>
        <v>0</v>
      </c>
      <c r="AD23" s="1421">
        <f ca="1">SUMIF($G$15:$G22,$G23,AD$15:AD22)</f>
        <v>0</v>
      </c>
      <c r="AE23" s="1527"/>
    </row>
    <row r="24" spans="1:31" ht="15">
      <c r="A24" s="1714" t="str">
        <f>Datos!A24</f>
        <v xml:space="preserve">Jurisdicción Cont.-Admva.:                      </v>
      </c>
      <c r="B24" s="1715"/>
      <c r="C24" s="373"/>
      <c r="D24" s="373"/>
      <c r="E24" s="1424"/>
      <c r="F24" s="1424"/>
      <c r="G24" s="1424"/>
      <c r="H24" s="242"/>
      <c r="I24" s="373"/>
      <c r="J24" s="242"/>
      <c r="K24" s="1430"/>
      <c r="L24" s="1430"/>
      <c r="M24" s="242"/>
      <c r="N24" s="1430"/>
      <c r="O24" s="1431"/>
      <c r="P24" s="1432"/>
      <c r="Q24" s="1433"/>
      <c r="R24" s="1434"/>
      <c r="S24" s="1431"/>
      <c r="T24" s="1528"/>
      <c r="U24" s="1537"/>
      <c r="V24" s="1532"/>
      <c r="W24" s="1435"/>
      <c r="X24" s="1398"/>
      <c r="Y24" s="1398"/>
      <c r="Z24" s="1399"/>
      <c r="AA24" s="1406"/>
      <c r="AB24" s="690"/>
      <c r="AC24" s="690"/>
      <c r="AD24" s="1407"/>
      <c r="AE24" s="1527"/>
    </row>
    <row r="25" spans="1:31" ht="15">
      <c r="A25" s="1401">
        <f>ABS(Datos!AO25)</f>
        <v>0</v>
      </c>
      <c r="B25" s="1464"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2">
        <f>IF(Datos!E25&lt;&gt;"",Datos!E25,Datos!D25)</f>
        <v>30</v>
      </c>
      <c r="H25" s="241" t="str">
        <f>IF(ISNUMBER(Datos!L25),Datos!L25," - ")</f>
        <v xml:space="preserve"> - </v>
      </c>
      <c r="I25" s="1402" t="str">
        <f>IF(ISNUMBER(Datos!AS25/Datos!BM25),Datos!AS25/Datos!BM25," - ")</f>
        <v xml:space="preserve"> - </v>
      </c>
      <c r="J25" s="1403">
        <f>IF(ISNUMBER(Datos!BY25/Datos!CN25),Datos!BY25/Datos!CN25," - ")</f>
        <v>0</v>
      </c>
      <c r="K25" s="244" t="str">
        <f>IF(ISNUMBER((E25-F25)/C25),(E25-F25)/C25," - ")</f>
        <v xml:space="preserve"> - </v>
      </c>
      <c r="L25" s="1404" t="str">
        <f>IF(ISNUMBER(NºAsuntos!I25/NºAsuntos!G25),(NºAsuntos!I25/NºAsuntos!G25)*11," - ")</f>
        <v xml:space="preserve"> - </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4"/>
      <c r="V25" s="1539" t="str">
        <f>IF(U25="",IF(ISNUMBER(IF(ISNUMBER(S25),S25,0)/((Datos!EU25-Datos!ET25)/Datos!EU25)),IF(ISNUMBER(S25),S25,0)/((Datos!EU25-Datos!ET25)/Datos!EU25)," - "),IF(ISNUMBER(IF(ISNUMBER(S25),S25,0)/((Datos!EU25-U25)/Datos!EU25)),IF(ISNUMBER(S25),S25,0)/((Datos!EU25-U25)/Datos!EU25)))</f>
        <v xml:space="preserve"> - </v>
      </c>
      <c r="W25" s="549" t="str">
        <f>IF(ISNUMBER(Datos!CV25),Datos!CV25," - ")</f>
        <v xml:space="preserve"> - </v>
      </c>
      <c r="X25" s="549" t="str">
        <f>IF(ISNUMBER(Datos!DH25),Datos!DH25," - ")</f>
        <v xml:space="preserve"> - </v>
      </c>
      <c r="Y25" s="549" t="str">
        <f>IF(ISNUMBER(Datos!DI25),Datos!DI25," - ")</f>
        <v xml:space="preserve"> - </v>
      </c>
      <c r="Z25" s="375" t="str">
        <f>IF(ISNUMBER(Datos!DJ25),Datos!DJ25," - ")</f>
        <v xml:space="preserve"> - </v>
      </c>
      <c r="AA25" s="566"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7">
        <v>0</v>
      </c>
    </row>
    <row r="26" spans="1:31" ht="15">
      <c r="A26" s="1408"/>
      <c r="B26" s="1465" t="str">
        <f>Datos!A26</f>
        <v>TOTAL</v>
      </c>
      <c r="C26" s="1409">
        <f>SUBTOTAL(9,C25:C25)</f>
        <v>0</v>
      </c>
      <c r="D26" s="1409">
        <f>SUBTOTAL(9,D25:D25)</f>
        <v>0</v>
      </c>
      <c r="E26" s="1410">
        <f>SUBTOTAL(9,E25:E25)</f>
        <v>0</v>
      </c>
      <c r="F26" s="1410">
        <f>SUBTOTAL(9,F25:F25)</f>
        <v>0</v>
      </c>
      <c r="G26" s="1412">
        <f ca="1">INDIRECT(CONCATENATE("G",ROW()-1))</f>
        <v>30</v>
      </c>
      <c r="H26" s="1413">
        <f ca="1">SUMIF(G$24:G25,G26,H$24:H25)</f>
        <v>0</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535"/>
      <c r="V26" s="1531">
        <f ca="1">SUMIF(G$24:G25,G26,V$24:V25)</f>
        <v>0</v>
      </c>
      <c r="W26" s="1421">
        <f ca="1">SUMIF($G$24:$G25,$G26,W$24:W25)</f>
        <v>0</v>
      </c>
      <c r="X26" s="1421">
        <f ca="1">SUMIF($G$24:$G25,$G26,X$24:X25)</f>
        <v>0</v>
      </c>
      <c r="Y26" s="1421">
        <f ca="1">SUMIF($G$24:$G25,$G26,Y$24:Y25)</f>
        <v>0</v>
      </c>
      <c r="Z26" s="1412">
        <f ca="1">SUMIF($G$24:$G25,$G26,Z$24:Z25)</f>
        <v>0</v>
      </c>
      <c r="AA26" s="1422">
        <f ca="1">SUMIF($G$24:$G25,$G26,AA$24:AA25)</f>
        <v>0</v>
      </c>
      <c r="AB26" s="1421">
        <f ca="1">SUMIF($G$24:$G25,$G26,AB$24:AB25)</f>
        <v>0</v>
      </c>
      <c r="AC26" s="1421">
        <f ca="1">SUMIF($G$24:$G25,$G26,AC$24:AC25)</f>
        <v>0</v>
      </c>
      <c r="AD26" s="1423">
        <f ca="1">SUMIF($G$24:$G25,$G26,AD$24:AD25)</f>
        <v>0</v>
      </c>
      <c r="AE26" s="1527"/>
    </row>
    <row r="27" spans="1:31" ht="15">
      <c r="A27" s="1714" t="str">
        <f>Datos!A27</f>
        <v xml:space="preserve">Jurisdicción Social:                            </v>
      </c>
      <c r="B27" s="1715"/>
      <c r="C27" s="373"/>
      <c r="D27" s="373"/>
      <c r="E27" s="1424"/>
      <c r="F27" s="1424"/>
      <c r="G27" s="1424"/>
      <c r="H27" s="242"/>
      <c r="I27" s="373"/>
      <c r="J27" s="242"/>
      <c r="K27" s="244"/>
      <c r="L27" s="244"/>
      <c r="M27" s="242"/>
      <c r="N27" s="244"/>
      <c r="O27" s="1425"/>
      <c r="P27" s="1426"/>
      <c r="Q27" s="1427"/>
      <c r="R27" s="1428"/>
      <c r="S27" s="1425"/>
      <c r="T27" s="549"/>
      <c r="U27" s="1534"/>
      <c r="V27" s="1532"/>
      <c r="W27" s="1429"/>
      <c r="X27" s="1398"/>
      <c r="Y27" s="1398"/>
      <c r="Z27" s="1399"/>
      <c r="AA27" s="1406"/>
      <c r="AB27" s="690"/>
      <c r="AC27" s="690"/>
      <c r="AD27" s="1407"/>
      <c r="AE27" s="1527"/>
    </row>
    <row r="28" spans="1:31" ht="15">
      <c r="A28" s="1401">
        <f>ABS(Datos!AO28)</f>
        <v>0</v>
      </c>
      <c r="B28" s="1464"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2" t="str">
        <f>IF(Datos!E28&lt;&gt;"",Datos!E28,Datos!D28)</f>
        <v>05</v>
      </c>
      <c r="H28" s="241" t="str">
        <f>IF(ISNUMBER(Datos!L28),Datos!L28," - ")</f>
        <v xml:space="preserve"> - </v>
      </c>
      <c r="I28" s="1402" t="str">
        <f>IF(ISNUMBER(Datos!AS28/Datos!BM28),Datos!AS28/Datos!BM28," - ")</f>
        <v xml:space="preserve"> - </v>
      </c>
      <c r="J28" s="1403" t="str">
        <f>IF(ISNUMBER(Datos!BY28/Datos!CN28),Datos!BY28/Datos!CN28," - ")</f>
        <v xml:space="preserve"> - </v>
      </c>
      <c r="K28" s="244" t="str">
        <f>IF(ISNUMBER((E28-F28)/C28),(E28-F28)/C28," - ")</f>
        <v xml:space="preserve"> - </v>
      </c>
      <c r="L28" s="1404" t="str">
        <f>IF(ISNUMBER(NºAsuntos!I28/NºAsuntos!G28),(NºAsuntos!I28/NºAsuntos!G28)*11," - ")</f>
        <v xml:space="preserve"> - </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4"/>
      <c r="V28" s="1539" t="str">
        <f>IF(U28="",IF(ISNUMBER(IF(ISNUMBER(S28),S28,0)/((Datos!EU28-Datos!ET28)/Datos!EU28)),IF(ISNUMBER(S28),S28,0)/((Datos!EU28-Datos!ET28)/Datos!EU28)," - "),IF(ISNUMBER(IF(ISNUMBER(S28),S28,0)/((Datos!EU28-U28)/Datos!EU28)),IF(ISNUMBER(S28),S28,0)/((Datos!EU28-U28)/Datos!EU28)))</f>
        <v xml:space="preserve"> - </v>
      </c>
      <c r="W28" s="549" t="str">
        <f>IF(ISNUMBER(Datos!CV28),Datos!CV28," - ")</f>
        <v xml:space="preserve"> - </v>
      </c>
      <c r="X28" s="549" t="str">
        <f>IF(ISNUMBER(Datos!DH28),Datos!DH28," - ")</f>
        <v xml:space="preserve"> - </v>
      </c>
      <c r="Y28" s="549" t="str">
        <f>IF(ISNUMBER(Datos!DI28),Datos!DI28," - ")</f>
        <v xml:space="preserve"> - </v>
      </c>
      <c r="Z28" s="375" t="str">
        <f>IF(ISNUMBER(Datos!DJ28),Datos!DJ28," - ")</f>
        <v xml:space="preserve"> - </v>
      </c>
      <c r="AA28" s="566"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7">
        <v>0</v>
      </c>
    </row>
    <row r="29" spans="1:31"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4"/>
      <c r="V29" s="1539" t="str">
        <f>IF(U29="",IF(ISNUMBER(IF(ISNUMBER(S29),S29,0)/((Datos!EU29-Datos!ET29)/Datos!EU29)),IF(ISNUMBER(S29),S29,0)/((Datos!EU29-Datos!ET29)/Datos!EU29)," - "),IF(ISNUMBER(IF(ISNUMBER(S29),S29,0)/((Datos!EU29-U29)/Datos!EU29)),IF(ISNUMBER(S29),S29,0)/((Datos!EU29-U29)/Datos!EU29)))</f>
        <v xml:space="preserve"> - </v>
      </c>
      <c r="W29" s="549" t="str">
        <f>IF(ISNUMBER(Datos!CV29),Datos!CV29," - ")</f>
        <v xml:space="preserve"> - </v>
      </c>
      <c r="X29" s="549" t="str">
        <f>IF(ISNUMBER(Datos!DH29),Datos!DH29," - ")</f>
        <v xml:space="preserve"> - </v>
      </c>
      <c r="Y29" s="549" t="str">
        <f>IF(ISNUMBER(Datos!DI29),Datos!DI29," - ")</f>
        <v xml:space="preserve"> - </v>
      </c>
      <c r="Z29" s="375" t="str">
        <f>IF(ISNUMBER(Datos!DJ29),Datos!DJ29," - ")</f>
        <v xml:space="preserve"> - </v>
      </c>
      <c r="AA29" s="566"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7">
        <v>0</v>
      </c>
    </row>
    <row r="30" spans="1:31" ht="15.75" thickBot="1">
      <c r="A30" s="1408"/>
      <c r="B30" s="1465" t="str">
        <f>Datos!A30</f>
        <v>TOTAL</v>
      </c>
      <c r="C30" s="1409">
        <f>SUBTOTAL(9,C28:C29)</f>
        <v>0</v>
      </c>
      <c r="D30" s="1409">
        <f>SUBTOTAL(9,D28:D29)</f>
        <v>0</v>
      </c>
      <c r="E30" s="1410">
        <f>SUBTOTAL(9,E28:E29)</f>
        <v>0</v>
      </c>
      <c r="F30" s="1410">
        <f>SUBTOTAL(9,F28:F29)</f>
        <v>0</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535"/>
      <c r="V30" s="1531">
        <f ca="1">SUMIF(G$27:G29,G30,V$27:V29)</f>
        <v>0</v>
      </c>
      <c r="W30" s="1421">
        <f ca="1">SUMIF($G$27:$G29,$G30,W$27:W29)</f>
        <v>0</v>
      </c>
      <c r="X30" s="1421">
        <f ca="1">SUMIF($G$27:$G29,$G30,X$27:X29)</f>
        <v>0</v>
      </c>
      <c r="Y30" s="1421">
        <f ca="1">SUMIF($G$27:$G29,$G30,Y$27:Y29)</f>
        <v>0</v>
      </c>
      <c r="Z30" s="1412">
        <f ca="1">SUMIF($G$27:$G29,$G30,Z$27:Z29)</f>
        <v>0</v>
      </c>
      <c r="AA30" s="1422">
        <f ca="1">SUMIF($G$27:$G29,$G30,AA$27:AA29)</f>
        <v>0</v>
      </c>
      <c r="AB30" s="1421">
        <f ca="1">SUMIF($G$27:$G29,$G30,AB$27:AB29)</f>
        <v>0</v>
      </c>
      <c r="AC30" s="1421">
        <f ca="1">SUMIF($G$27:$G29,$G30,AC$27:AC29)</f>
        <v>0</v>
      </c>
      <c r="AD30" s="1423">
        <f ca="1">SUMIF($G$27:$G29,$G30,AD$27:AD29)</f>
        <v>0</v>
      </c>
      <c r="AE30" s="1527"/>
    </row>
    <row r="31" spans="1:31" ht="18.75" customHeight="1" thickTop="1" thickBot="1">
      <c r="A31" s="1436"/>
      <c r="B31" s="1466" t="str">
        <f>Datos!A31</f>
        <v>TOTAL JURISDICCIONES</v>
      </c>
      <c r="C31" s="1437">
        <f>SUBTOTAL(9,C9:C30)</f>
        <v>5298</v>
      </c>
      <c r="D31" s="1437">
        <f>SUBTOTAL(9,D9:D30)</f>
        <v>5823</v>
      </c>
      <c r="E31" s="1438">
        <f>SUBTOTAL(9,E9:E30)</f>
        <v>10858</v>
      </c>
      <c r="F31" s="1438">
        <f>SUBTOTAL(9,F9:F30)</f>
        <v>9827</v>
      </c>
      <c r="G31" s="1439"/>
      <c r="H31" s="1440">
        <f ca="1">SUMIF(B9:B30,"TOTAL",H9:H30)</f>
        <v>0</v>
      </c>
      <c r="I31" s="1441"/>
      <c r="J31" s="1442"/>
      <c r="K31" s="1443"/>
      <c r="L31" s="1444"/>
      <c r="M31" s="1445">
        <f ca="1">SUMIF(B9:B30,"TOTAL",M9:M30)</f>
        <v>0</v>
      </c>
      <c r="N31" s="1444"/>
      <c r="O31" s="1445"/>
      <c r="P31" s="1445"/>
      <c r="Q31" s="1445"/>
      <c r="R31" s="1446">
        <f ca="1">SUMIF(B9:B30,"TOTAL",R9:R30)</f>
        <v>0</v>
      </c>
      <c r="S31" s="1447">
        <f ca="1">SUMIF(B9:B30,"TOTAL",S9:S30)</f>
        <v>0</v>
      </c>
      <c r="T31" s="1449"/>
      <c r="U31" s="1538"/>
      <c r="V31" s="1533">
        <f ca="1">SUMIF(B9:B30,"TOTAL",V9:V30)</f>
        <v>0</v>
      </c>
      <c r="W31" s="1448">
        <f t="shared" ref="W31:AD31" ca="1" si="4">SUMIF($B9:$B30,"TOTAL",W9:W30)</f>
        <v>0</v>
      </c>
      <c r="X31" s="1448">
        <f t="shared" ca="1" si="4"/>
        <v>0</v>
      </c>
      <c r="Y31" s="1448">
        <f t="shared" ca="1" si="4"/>
        <v>0</v>
      </c>
      <c r="Z31" s="1449">
        <f t="shared" ca="1" si="4"/>
        <v>0</v>
      </c>
      <c r="AA31" s="1448">
        <f t="shared" ca="1" si="4"/>
        <v>0</v>
      </c>
      <c r="AB31" s="1448">
        <f t="shared" ca="1" si="4"/>
        <v>0</v>
      </c>
      <c r="AC31" s="1448">
        <f t="shared" ca="1" si="4"/>
        <v>0</v>
      </c>
      <c r="AD31" s="1450">
        <f t="shared" ca="1" si="4"/>
        <v>0</v>
      </c>
    </row>
    <row r="32" spans="1:31" ht="12" customHeight="1" thickTop="1">
      <c r="B32" s="76"/>
    </row>
    <row r="33" spans="2:29" ht="12.75" customHeight="1">
      <c r="B33" s="1467"/>
      <c r="C33" s="1386"/>
      <c r="D33" s="1386"/>
      <c r="E33" s="1387"/>
      <c r="F33" s="1386"/>
      <c r="G33" s="1386"/>
      <c r="H33" s="1386"/>
      <c r="I33" s="1386"/>
      <c r="J33" s="1386"/>
      <c r="K33" s="1387"/>
      <c r="L33" s="1387"/>
      <c r="M33" s="1387"/>
      <c r="N33" s="1387"/>
      <c r="O33" s="1387"/>
      <c r="P33" s="1387"/>
      <c r="Q33" s="1387"/>
    </row>
    <row r="34" spans="2:29" ht="12.75" customHeight="1">
      <c r="B34" s="537" t="str">
        <f>Criterios!A4</f>
        <v>Fecha Informe: 05 abr. 2022</v>
      </c>
      <c r="C34" s="1386"/>
      <c r="D34" s="1386"/>
      <c r="E34" s="1387"/>
      <c r="F34" s="1386"/>
      <c r="G34" s="1386"/>
      <c r="H34" s="1386"/>
      <c r="I34" s="1386"/>
      <c r="J34" s="1386"/>
      <c r="K34" s="1387"/>
      <c r="L34" s="1387"/>
      <c r="M34" s="1387"/>
      <c r="N34" s="1387"/>
      <c r="O34" s="1387"/>
      <c r="P34" s="1387"/>
      <c r="Q34" s="1387"/>
    </row>
    <row r="35" spans="2:29" ht="12.75" customHeight="1">
      <c r="B35" s="1467"/>
      <c r="C35" s="1386"/>
      <c r="D35" s="1386"/>
      <c r="E35" s="1386"/>
      <c r="F35" s="1386"/>
      <c r="G35" s="1386"/>
      <c r="H35" s="1386"/>
      <c r="I35" s="1386"/>
      <c r="J35" s="1386"/>
      <c r="K35" s="1386"/>
      <c r="L35" s="1386"/>
      <c r="M35" s="1386"/>
      <c r="N35" s="1386"/>
      <c r="O35" s="1386"/>
      <c r="P35" s="1386"/>
      <c r="Q35" s="1386"/>
    </row>
    <row r="36" spans="2:29" ht="12.75" customHeight="1">
      <c r="B36" s="1467"/>
      <c r="C36" s="1386"/>
      <c r="D36" s="1386"/>
      <c r="E36" s="1386"/>
      <c r="F36" s="1386"/>
      <c r="G36" s="1386"/>
      <c r="H36" s="1386"/>
      <c r="I36" s="1386"/>
      <c r="J36" s="1386"/>
      <c r="K36" s="1386"/>
      <c r="L36" s="1386"/>
      <c r="M36" s="1386"/>
      <c r="N36" s="1386"/>
      <c r="O36" s="1386"/>
      <c r="P36" s="1386"/>
      <c r="Q36" s="1386"/>
    </row>
    <row r="37" spans="2:29">
      <c r="B37" s="649"/>
      <c r="N37" s="1685" t="s">
        <v>838</v>
      </c>
      <c r="O37" s="1685"/>
      <c r="P37" s="1685"/>
      <c r="Q37" s="1685"/>
      <c r="R37" s="1685"/>
      <c r="S37" s="1685"/>
      <c r="T37" s="1685"/>
      <c r="U37" s="1685"/>
      <c r="V37" s="1685"/>
      <c r="W37" s="1685"/>
      <c r="Y37" s="1685" t="s">
        <v>839</v>
      </c>
      <c r="Z37" s="1685"/>
      <c r="AA37" s="1685"/>
      <c r="AB37" s="1685"/>
      <c r="AC37" s="1685"/>
    </row>
    <row r="39" spans="2:29">
      <c r="N39" s="1388" t="s">
        <v>840</v>
      </c>
      <c r="O39" s="1680" t="s">
        <v>841</v>
      </c>
      <c r="P39" s="1680"/>
      <c r="Q39" s="1680"/>
      <c r="R39" s="1680"/>
      <c r="S39" s="1680"/>
      <c r="T39" s="1680"/>
      <c r="U39" s="1680"/>
      <c r="V39" s="1680"/>
      <c r="W39" s="1680"/>
      <c r="Y39" s="1388" t="s">
        <v>840</v>
      </c>
      <c r="Z39" s="1683" t="s">
        <v>842</v>
      </c>
      <c r="AA39" s="1683"/>
      <c r="AB39" s="1683"/>
      <c r="AC39" s="1683"/>
    </row>
    <row r="40" spans="2:29">
      <c r="N40" s="1388" t="s">
        <v>843</v>
      </c>
      <c r="O40" s="1680" t="s">
        <v>844</v>
      </c>
      <c r="P40" s="1680"/>
      <c r="Q40" s="1680"/>
      <c r="R40" s="1680"/>
      <c r="S40" s="1680"/>
      <c r="T40" s="1680"/>
      <c r="U40" s="1680"/>
      <c r="V40" s="1680"/>
      <c r="W40" s="1680"/>
      <c r="Y40" s="1388" t="s">
        <v>843</v>
      </c>
      <c r="Z40" s="1683" t="s">
        <v>845</v>
      </c>
      <c r="AA40" s="1683"/>
      <c r="AB40" s="1683"/>
      <c r="AC40" s="1683"/>
    </row>
    <row r="41" spans="2:29">
      <c r="N41" s="1388" t="s">
        <v>846</v>
      </c>
      <c r="O41" s="1680" t="s">
        <v>847</v>
      </c>
      <c r="P41" s="1680"/>
      <c r="Q41" s="1680"/>
      <c r="R41" s="1680"/>
      <c r="S41" s="1680"/>
      <c r="T41" s="1680"/>
      <c r="U41" s="1680"/>
      <c r="V41" s="1680"/>
      <c r="W41" s="1680"/>
      <c r="Y41" s="1388" t="s">
        <v>848</v>
      </c>
      <c r="Z41" s="1683" t="s">
        <v>849</v>
      </c>
      <c r="AA41" s="1683"/>
      <c r="AB41" s="1683"/>
      <c r="AC41" s="1683"/>
    </row>
    <row r="42" spans="2:29">
      <c r="N42" s="1388" t="s">
        <v>850</v>
      </c>
      <c r="O42" s="1680" t="s">
        <v>851</v>
      </c>
      <c r="P42" s="1680"/>
      <c r="Q42" s="1680"/>
      <c r="R42" s="1680"/>
      <c r="S42" s="1680"/>
      <c r="T42" s="1680"/>
      <c r="U42" s="1680"/>
      <c r="V42" s="1680"/>
      <c r="W42" s="1680"/>
      <c r="Y42" s="1388" t="s">
        <v>852</v>
      </c>
      <c r="Z42" s="1683" t="s">
        <v>853</v>
      </c>
      <c r="AA42" s="1683"/>
      <c r="AB42" s="1683"/>
      <c r="AC42" s="1683"/>
    </row>
    <row r="43" spans="2:29">
      <c r="N43" s="1388" t="s">
        <v>940</v>
      </c>
      <c r="O43" s="1680" t="s">
        <v>941</v>
      </c>
      <c r="P43" s="1680"/>
      <c r="Q43" s="1680"/>
      <c r="R43" s="1680"/>
      <c r="S43" s="1680"/>
      <c r="T43" s="1680"/>
      <c r="U43" s="1680"/>
      <c r="V43" s="1680"/>
      <c r="W43" s="1680"/>
      <c r="Y43" s="1388" t="s">
        <v>846</v>
      </c>
      <c r="Z43" s="1683" t="s">
        <v>847</v>
      </c>
      <c r="AA43" s="1683"/>
      <c r="AB43" s="1683"/>
      <c r="AC43" s="1683"/>
    </row>
    <row r="44" spans="2:29">
      <c r="N44" s="1388" t="s">
        <v>854</v>
      </c>
      <c r="O44" s="1680" t="s">
        <v>855</v>
      </c>
      <c r="P44" s="1680"/>
      <c r="Q44" s="1680"/>
      <c r="R44" s="1680"/>
      <c r="S44" s="1680"/>
      <c r="T44" s="1680"/>
      <c r="U44" s="1680"/>
      <c r="V44" s="1680"/>
      <c r="W44" s="1680"/>
      <c r="Y44" s="1388" t="s">
        <v>850</v>
      </c>
      <c r="Z44" s="1683" t="s">
        <v>851</v>
      </c>
      <c r="AA44" s="1683"/>
      <c r="AB44" s="1683"/>
      <c r="AC44" s="1683"/>
    </row>
    <row r="45" spans="2:29">
      <c r="N45" s="1388" t="s">
        <v>856</v>
      </c>
      <c r="O45" s="1680" t="s">
        <v>857</v>
      </c>
      <c r="P45" s="1680"/>
      <c r="Q45" s="1680"/>
      <c r="R45" s="1680"/>
      <c r="S45" s="1680"/>
      <c r="T45" s="1680"/>
      <c r="U45" s="1680"/>
      <c r="V45" s="1680"/>
      <c r="W45" s="1680"/>
      <c r="Y45" s="1388" t="s">
        <v>859</v>
      </c>
      <c r="Z45" s="1683" t="s">
        <v>860</v>
      </c>
      <c r="AA45" s="1683"/>
      <c r="AB45" s="1683"/>
      <c r="AC45" s="1683"/>
    </row>
    <row r="46" spans="2:29">
      <c r="N46" s="1388" t="s">
        <v>848</v>
      </c>
      <c r="O46" s="1680" t="s">
        <v>858</v>
      </c>
      <c r="P46" s="1680"/>
      <c r="Q46" s="1680"/>
      <c r="R46" s="1680"/>
      <c r="S46" s="1680"/>
      <c r="T46" s="1680"/>
      <c r="U46" s="1680"/>
      <c r="V46" s="1680"/>
      <c r="W46" s="1680"/>
      <c r="Y46" s="1388" t="s">
        <v>862</v>
      </c>
      <c r="Z46" s="1683" t="s">
        <v>863</v>
      </c>
      <c r="AA46" s="1683"/>
      <c r="AB46" s="1683"/>
      <c r="AC46" s="1683"/>
    </row>
    <row r="47" spans="2:29">
      <c r="N47" s="1388" t="s">
        <v>852</v>
      </c>
      <c r="O47" s="1680" t="s">
        <v>861</v>
      </c>
      <c r="P47" s="1680"/>
      <c r="Q47" s="1680"/>
      <c r="R47" s="1680"/>
      <c r="S47" s="1680"/>
      <c r="T47" s="1680"/>
      <c r="U47" s="1680"/>
      <c r="V47" s="1680"/>
      <c r="W47" s="1680"/>
      <c r="Y47" s="1389" t="s">
        <v>865</v>
      </c>
      <c r="Z47" s="1681" t="s">
        <v>866</v>
      </c>
      <c r="AA47" s="1681"/>
      <c r="AB47" s="1681"/>
      <c r="AC47" s="1681"/>
    </row>
    <row r="48" spans="2:29">
      <c r="N48" s="1388" t="s">
        <v>859</v>
      </c>
      <c r="O48" s="1680" t="s">
        <v>864</v>
      </c>
      <c r="P48" s="1680"/>
      <c r="Q48" s="1680"/>
      <c r="R48" s="1680"/>
      <c r="S48" s="1680"/>
      <c r="T48" s="1680"/>
      <c r="U48" s="1680"/>
      <c r="V48" s="1680"/>
      <c r="W48" s="1680"/>
      <c r="Y48" s="1388" t="s">
        <v>854</v>
      </c>
      <c r="Z48" s="1683" t="s">
        <v>855</v>
      </c>
      <c r="AA48" s="1683"/>
      <c r="AB48" s="1683"/>
      <c r="AC48" s="1683"/>
    </row>
    <row r="49" spans="14:29">
      <c r="N49" s="1388" t="s">
        <v>867</v>
      </c>
      <c r="O49" s="1680" t="s">
        <v>868</v>
      </c>
      <c r="P49" s="1680"/>
      <c r="Q49" s="1680"/>
      <c r="R49" s="1680"/>
      <c r="S49" s="1680"/>
      <c r="T49" s="1680"/>
      <c r="U49" s="1680"/>
      <c r="V49" s="1680"/>
      <c r="W49" s="1680"/>
      <c r="Y49" s="1390" t="s">
        <v>856</v>
      </c>
      <c r="Z49" s="1684" t="s">
        <v>857</v>
      </c>
      <c r="AA49" s="1684"/>
      <c r="AB49" s="1684"/>
      <c r="AC49" s="1684"/>
    </row>
    <row r="50" spans="14:29">
      <c r="N50" s="1388" t="s">
        <v>862</v>
      </c>
      <c r="O50" s="1680" t="s">
        <v>869</v>
      </c>
      <c r="P50" s="1680"/>
      <c r="Q50" s="1680"/>
      <c r="R50" s="1680"/>
      <c r="S50" s="1680"/>
      <c r="T50" s="1680"/>
      <c r="U50" s="1680"/>
      <c r="V50" s="1680"/>
      <c r="W50" s="1680"/>
    </row>
    <row r="51" spans="14:29">
      <c r="N51" s="1390" t="s">
        <v>865</v>
      </c>
      <c r="O51" s="1682" t="s">
        <v>870</v>
      </c>
      <c r="P51" s="1682"/>
      <c r="Q51" s="1682"/>
      <c r="R51" s="1682"/>
      <c r="S51" s="1682"/>
      <c r="T51" s="1682"/>
      <c r="U51" s="1682"/>
      <c r="V51" s="1682"/>
      <c r="W51" s="1682"/>
    </row>
  </sheetData>
  <sheetProtection algorithmName="SHA-512" hashValue="JUcfq7fuHczdIr3eNDzXUcSU+XD4YOfmdNLmXGg55j2T+CCrcdS5o/XdAx+SmVRgO+wz6cz6ByJPJ2GGC14Kgw==" saltValue="w7oAz+hnB/trgmOQH8jFC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870" priority="92" stopIfTrue="1" operator="between">
      <formula>$D$35</formula>
      <formula>$D$36</formula>
    </cfRule>
  </conditionalFormatting>
  <conditionalFormatting sqref="E25 E28:E29 E9:E13 E16:E22">
    <cfRule type="cellIs" dxfId="2869" priority="99" stopIfTrue="1" operator="notBetween">
      <formula>$E$35</formula>
      <formula>$E$36</formula>
    </cfRule>
  </conditionalFormatting>
  <conditionalFormatting sqref="F9:F13 F25 F28:F29 F16:F22">
    <cfRule type="cellIs" dxfId="2868" priority="105" stopIfTrue="1" operator="notBetween">
      <formula>$F$35</formula>
      <formula>$F$36</formula>
    </cfRule>
  </conditionalFormatting>
  <conditionalFormatting sqref="C25 C28:C29 C10:C13 C16:C22">
    <cfRule type="cellIs" dxfId="2867"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3" sqref="B13"/>
    </sheetView>
  </sheetViews>
  <sheetFormatPr baseColWidth="10" defaultRowHeight="12.75"/>
  <cols>
    <col min="1" max="1" width="31.42578125" customWidth="1"/>
    <col min="2" max="2" width="105.140625" customWidth="1"/>
    <col min="3" max="3" width="107.140625" customWidth="1"/>
  </cols>
  <sheetData>
    <row r="8" spans="2:2">
      <c r="B8" s="1117" t="s">
        <v>543</v>
      </c>
    </row>
    <row r="9" spans="2:2">
      <c r="B9" s="531"/>
    </row>
    <row r="10" spans="2:2">
      <c r="B10" s="525"/>
    </row>
    <row r="11" spans="2:2" ht="25.5">
      <c r="B11" s="526" t="s">
        <v>544</v>
      </c>
    </row>
    <row r="12" spans="2:2">
      <c r="B12" s="527"/>
    </row>
    <row r="13" spans="2:2" ht="89.25">
      <c r="B13" s="1540" t="s">
        <v>1148</v>
      </c>
    </row>
    <row r="14" spans="2:2">
      <c r="B14" s="527"/>
    </row>
    <row r="15" spans="2:2" ht="51">
      <c r="B15" s="527" t="s">
        <v>545</v>
      </c>
    </row>
    <row r="16" spans="2:2">
      <c r="B16" s="527"/>
    </row>
    <row r="17" spans="2:2" ht="51">
      <c r="B17" s="528" t="s">
        <v>546</v>
      </c>
    </row>
  </sheetData>
  <sheetProtection algorithmName="SHA-512" hashValue="f1ud+XPh7wxMglrDqvGnYbtj/AWgF8vG7NOIb/eTM+Ov3np7X6INEAmmSnodt4J0BtW1xlyTJZJpppfwAHM9Qg==" saltValue="GlTMOsnmwiN+Ik3v/15j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BI1" activePane="topRight" state="frozen"/>
      <selection pane="topRight" activeCell="BI9" sqref="BI9"/>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518</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300</v>
      </c>
      <c r="BK1" s="53" t="s">
        <v>305</v>
      </c>
      <c r="BL1" s="32" t="s">
        <v>306</v>
      </c>
      <c r="BM1" s="31" t="s">
        <v>311</v>
      </c>
      <c r="BN1" s="53"/>
      <c r="BO1" s="32"/>
      <c r="BP1" s="31"/>
      <c r="BQ1" s="53"/>
      <c r="BR1" s="32"/>
      <c r="BS1" s="31"/>
      <c r="BT1" s="53"/>
      <c r="BU1" s="32"/>
      <c r="BV1" s="31" t="s">
        <v>362</v>
      </c>
      <c r="BW1" s="53" t="s">
        <v>363</v>
      </c>
      <c r="BX1" s="32" t="s">
        <v>368</v>
      </c>
      <c r="BY1" s="31" t="s">
        <v>370</v>
      </c>
      <c r="BZ1" s="53" t="s">
        <v>380</v>
      </c>
      <c r="CA1" s="32" t="s">
        <v>381</v>
      </c>
      <c r="CB1" s="31" t="s">
        <v>466</v>
      </c>
      <c r="CC1" s="53" t="s">
        <v>469</v>
      </c>
      <c r="CD1" s="32" t="s">
        <v>471</v>
      </c>
      <c r="CE1" s="31" t="s">
        <v>481</v>
      </c>
      <c r="CF1" s="53" t="s">
        <v>482</v>
      </c>
      <c r="CG1" s="32" t="s">
        <v>483</v>
      </c>
      <c r="CH1" s="31" t="s">
        <v>484</v>
      </c>
      <c r="CI1" s="53" t="s">
        <v>508</v>
      </c>
      <c r="CJ1" s="32" t="s">
        <v>510</v>
      </c>
      <c r="CK1" s="31" t="s">
        <v>295</v>
      </c>
      <c r="CL1" s="53" t="s">
        <v>414</v>
      </c>
      <c r="CM1" s="32" t="s">
        <v>419</v>
      </c>
      <c r="CN1" s="31" t="s">
        <v>440</v>
      </c>
      <c r="CO1" s="53" t="s">
        <v>441</v>
      </c>
      <c r="CP1" s="32" t="s">
        <v>458</v>
      </c>
      <c r="CQ1" s="31" t="s">
        <v>459</v>
      </c>
      <c r="CR1" s="32" t="s">
        <v>460</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532</v>
      </c>
      <c r="DF1" s="32" t="s">
        <v>62</v>
      </c>
      <c r="DG1" s="31" t="s">
        <v>594</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352</v>
      </c>
      <c r="CF4" s="1775"/>
      <c r="CG4" s="1775"/>
      <c r="CH4" s="1776"/>
    </row>
    <row r="5" spans="1:151" ht="12.75" customHeight="1" thickBot="1">
      <c r="A5" s="1800" t="str">
        <f>"Año:  " &amp;Criterios!B5 &amp; "                  Trimestre   " &amp;Criterios!D5 &amp; " al " &amp;Criterios!D6</f>
        <v>Año:  2021                  Trimestre   1 al 4</v>
      </c>
      <c r="B5" s="1802" t="s">
        <v>519</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309</v>
      </c>
      <c r="AV5" s="1789" t="s">
        <v>307</v>
      </c>
      <c r="AW5" s="1789" t="s">
        <v>310</v>
      </c>
      <c r="AX5" s="1789" t="s">
        <v>308</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415</v>
      </c>
      <c r="BN5" s="1607"/>
      <c r="BO5" s="1608"/>
      <c r="BP5" s="1607"/>
      <c r="BQ5" s="1608"/>
      <c r="BR5" s="1607"/>
      <c r="BS5" s="1608"/>
      <c r="BT5" s="1607"/>
      <c r="BU5" s="1608"/>
      <c r="BV5" s="1791" t="s">
        <v>351</v>
      </c>
      <c r="BW5" s="1797" t="s">
        <v>329</v>
      </c>
      <c r="BX5" s="1797" t="s">
        <v>330</v>
      </c>
      <c r="BY5" s="1780" t="s">
        <v>338</v>
      </c>
      <c r="BZ5" s="1780" t="s">
        <v>465</v>
      </c>
      <c r="CA5" s="1767" t="s">
        <v>367</v>
      </c>
      <c r="CB5" s="1767" t="s">
        <v>358</v>
      </c>
      <c r="CC5" s="1767" t="s">
        <v>359</v>
      </c>
      <c r="CD5" s="1767" t="s">
        <v>360</v>
      </c>
      <c r="CE5" s="1755" t="s">
        <v>371</v>
      </c>
      <c r="CF5" s="1755" t="s">
        <v>350</v>
      </c>
      <c r="CG5" s="1755" t="s">
        <v>348</v>
      </c>
      <c r="CH5" s="1755" t="s">
        <v>349</v>
      </c>
      <c r="CI5" s="1771" t="s">
        <v>378</v>
      </c>
      <c r="CJ5" s="1771" t="s">
        <v>379</v>
      </c>
      <c r="CK5" s="1746" t="s">
        <v>549</v>
      </c>
      <c r="CL5" s="1746" t="s">
        <v>550</v>
      </c>
      <c r="CM5" s="1746" t="s">
        <v>588</v>
      </c>
      <c r="CN5" s="1768" t="s">
        <v>487</v>
      </c>
      <c r="CO5" s="1768" t="s">
        <v>480</v>
      </c>
      <c r="CP5" s="1768" t="s">
        <v>486</v>
      </c>
      <c r="CQ5" s="1761" t="s">
        <v>485</v>
      </c>
      <c r="CR5" s="1761" t="s">
        <v>485</v>
      </c>
      <c r="CS5" s="1755" t="s">
        <v>506</v>
      </c>
      <c r="CT5" s="1755" t="s">
        <v>509</v>
      </c>
      <c r="CU5" s="1755" t="s">
        <v>294</v>
      </c>
      <c r="CV5" s="1755" t="s">
        <v>407</v>
      </c>
      <c r="CW5" s="1755" t="s">
        <v>439</v>
      </c>
      <c r="CX5" s="1755" t="s">
        <v>450</v>
      </c>
      <c r="CY5" s="1755" t="s">
        <v>575</v>
      </c>
      <c r="CZ5" s="1755" t="s">
        <v>576</v>
      </c>
      <c r="DA5" s="1755" t="s">
        <v>577</v>
      </c>
      <c r="DB5" s="1727" t="s">
        <v>259</v>
      </c>
      <c r="DC5" s="1727" t="s">
        <v>260</v>
      </c>
      <c r="DD5" s="1727" t="s">
        <v>261</v>
      </c>
      <c r="DE5" s="1758" t="s">
        <v>232</v>
      </c>
      <c r="DF5" s="1758" t="s">
        <v>531</v>
      </c>
      <c r="DG5" s="1755" t="s">
        <v>590</v>
      </c>
      <c r="DH5" s="1746" t="s">
        <v>549</v>
      </c>
      <c r="DI5" s="1746" t="s">
        <v>550</v>
      </c>
      <c r="DJ5" s="1746" t="s">
        <v>587</v>
      </c>
      <c r="DK5" s="1746" t="s">
        <v>641</v>
      </c>
      <c r="DL5" s="1746" t="s">
        <v>645</v>
      </c>
      <c r="DM5" s="1745" t="s">
        <v>710</v>
      </c>
      <c r="DN5" s="1745" t="s">
        <v>711</v>
      </c>
      <c r="DO5" s="1745" t="s">
        <v>712</v>
      </c>
      <c r="DP5" s="1745" t="s">
        <v>713</v>
      </c>
      <c r="DQ5" s="1745" t="s">
        <v>714</v>
      </c>
      <c r="DR5" s="1745" t="s">
        <v>715</v>
      </c>
      <c r="DS5" s="1745" t="s">
        <v>716</v>
      </c>
      <c r="DT5" s="1745" t="s">
        <v>717</v>
      </c>
      <c r="DU5" s="1764" t="s">
        <v>718</v>
      </c>
      <c r="DV5" s="1752" t="s">
        <v>719</v>
      </c>
      <c r="DW5" s="1749" t="s">
        <v>720</v>
      </c>
      <c r="DX5" s="1745" t="s">
        <v>721</v>
      </c>
      <c r="DY5" s="1733" t="s">
        <v>722</v>
      </c>
      <c r="DZ5" s="1749" t="s">
        <v>723</v>
      </c>
      <c r="EA5" s="1733" t="s">
        <v>724</v>
      </c>
      <c r="EB5" s="1742" t="s">
        <v>784</v>
      </c>
      <c r="EC5" s="1742" t="s">
        <v>785</v>
      </c>
      <c r="ED5" s="1742" t="s">
        <v>786</v>
      </c>
      <c r="EE5" s="1742" t="s">
        <v>826</v>
      </c>
      <c r="EF5" s="1742" t="s">
        <v>830</v>
      </c>
      <c r="EG5" s="1733" t="s">
        <v>828</v>
      </c>
      <c r="EH5" s="1733" t="s">
        <v>829</v>
      </c>
      <c r="EI5" s="1733" t="s">
        <v>788</v>
      </c>
      <c r="EJ5" s="1733" t="s">
        <v>789</v>
      </c>
      <c r="EK5" s="1730" t="s">
        <v>877</v>
      </c>
      <c r="EL5" s="1736" t="s">
        <v>895</v>
      </c>
      <c r="EM5" s="1737"/>
      <c r="EN5" s="1738"/>
      <c r="EO5" s="1727" t="s">
        <v>1001</v>
      </c>
      <c r="EP5" s="1727" t="s">
        <v>1003</v>
      </c>
      <c r="EQ5" s="1727" t="s">
        <v>1004</v>
      </c>
      <c r="ER5" s="1727" t="s">
        <v>1010</v>
      </c>
      <c r="ES5" s="1727" t="s">
        <v>1020</v>
      </c>
      <c r="ET5" s="1724" t="s">
        <v>1137</v>
      </c>
      <c r="EU5" s="1724" t="s">
        <v>1138</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1000</v>
      </c>
      <c r="B7" s="1804"/>
      <c r="C7" s="1807"/>
      <c r="D7" s="69" t="s">
        <v>520</v>
      </c>
      <c r="E7" s="70" t="s">
        <v>173</v>
      </c>
      <c r="F7" s="70" t="s">
        <v>172</v>
      </c>
      <c r="G7" s="131" t="s">
        <v>51</v>
      </c>
      <c r="H7" s="132" t="s">
        <v>521</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896</v>
      </c>
      <c r="EM7" s="854" t="s">
        <v>129</v>
      </c>
      <c r="EN7" s="854" t="s">
        <v>130</v>
      </c>
      <c r="EO7" s="1729"/>
      <c r="EP7" s="1729"/>
      <c r="EQ7" s="1729"/>
      <c r="ER7" s="1729"/>
      <c r="ES7" s="1729"/>
      <c r="ET7" s="1726"/>
      <c r="EU7" s="1726"/>
    </row>
    <row r="8" spans="1:151" ht="14.25" customHeight="1" thickBot="1">
      <c r="A8" s="73" t="s">
        <v>148</v>
      </c>
      <c r="B8" s="151" t="s">
        <v>522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601</v>
      </c>
      <c r="DI8" s="53" t="s">
        <v>602</v>
      </c>
      <c r="DJ8" s="536" t="s">
        <v>603</v>
      </c>
      <c r="DK8" s="536" t="s">
        <v>642</v>
      </c>
      <c r="DL8" s="536" t="s">
        <v>643</v>
      </c>
      <c r="DM8" s="536" t="s">
        <v>725</v>
      </c>
      <c r="DN8" s="536" t="s">
        <v>726</v>
      </c>
      <c r="DO8" s="536" t="s">
        <v>727</v>
      </c>
      <c r="DP8" s="536" t="s">
        <v>728</v>
      </c>
      <c r="DQ8" s="536" t="s">
        <v>729</v>
      </c>
      <c r="DR8" s="536" t="s">
        <v>730</v>
      </c>
      <c r="DS8" s="536" t="s">
        <v>731</v>
      </c>
      <c r="DT8" s="536" t="s">
        <v>732</v>
      </c>
      <c r="DU8" s="542" t="s">
        <v>733</v>
      </c>
      <c r="DV8" s="536" t="s">
        <v>734</v>
      </c>
      <c r="DW8" s="536" t="s">
        <v>735</v>
      </c>
      <c r="DX8" s="536" t="s">
        <v>736</v>
      </c>
      <c r="DY8" s="536" t="s">
        <v>737</v>
      </c>
      <c r="DZ8" s="536" t="s">
        <v>738</v>
      </c>
      <c r="EA8" s="536" t="s">
        <v>739</v>
      </c>
      <c r="EB8" s="536" t="s">
        <v>796</v>
      </c>
      <c r="EC8" s="536" t="s">
        <v>797</v>
      </c>
      <c r="ED8" s="536" t="s">
        <v>798</v>
      </c>
      <c r="EE8" s="536" t="s">
        <v>799</v>
      </c>
      <c r="EF8" s="536" t="s">
        <v>800</v>
      </c>
      <c r="EG8" s="536" t="s">
        <v>801</v>
      </c>
      <c r="EH8" s="536" t="s">
        <v>802</v>
      </c>
      <c r="EI8" s="536" t="s">
        <v>803</v>
      </c>
      <c r="EJ8" s="536" t="s">
        <v>804</v>
      </c>
      <c r="EK8" s="536" t="s">
        <v>878</v>
      </c>
      <c r="EL8" s="855" t="s">
        <v>897</v>
      </c>
      <c r="EM8" s="855" t="s">
        <v>898</v>
      </c>
      <c r="EN8" s="855" t="s">
        <v>899</v>
      </c>
      <c r="EO8" s="53" t="s">
        <v>1002</v>
      </c>
      <c r="EP8" s="53" t="s">
        <v>1008</v>
      </c>
      <c r="EQ8" s="536" t="s">
        <v>1009</v>
      </c>
      <c r="ER8" s="536">
        <v>148</v>
      </c>
      <c r="ES8" s="536" t="s">
        <v>1021</v>
      </c>
      <c r="ET8" s="1522" t="s">
        <v>1139</v>
      </c>
      <c r="EU8" s="1522" t="s">
        <v>1140</v>
      </c>
    </row>
    <row r="9" spans="1:151" ht="14.25" customHeight="1">
      <c r="A9" s="20" t="s">
        <v>72</v>
      </c>
      <c r="B9" s="21" t="s">
        <v>522</v>
      </c>
      <c r="C9" s="22" t="s">
        <v>8</v>
      </c>
      <c r="D9" s="23" t="s">
        <v>25</v>
      </c>
      <c r="E9" s="21" t="s">
        <v>26</v>
      </c>
      <c r="F9" s="21">
        <v>32</v>
      </c>
      <c r="G9" s="6"/>
      <c r="H9" s="146" t="s">
        <v>322</v>
      </c>
      <c r="I9" s="193" t="s">
        <v>1096</v>
      </c>
      <c r="J9" s="194" t="s">
        <v>1077</v>
      </c>
      <c r="K9" s="194" t="s">
        <v>1097</v>
      </c>
      <c r="L9" s="194" t="s">
        <v>1116</v>
      </c>
      <c r="M9" s="194" t="s">
        <v>655</v>
      </c>
      <c r="N9" s="194" t="s">
        <v>671</v>
      </c>
      <c r="O9" s="194" t="s">
        <v>289</v>
      </c>
      <c r="P9" s="194" t="s">
        <v>57</v>
      </c>
      <c r="Q9" s="194" t="s">
        <v>58</v>
      </c>
      <c r="R9" s="194" t="s">
        <v>125</v>
      </c>
      <c r="S9" s="194"/>
      <c r="T9" s="194"/>
      <c r="U9" s="194"/>
      <c r="V9" s="194"/>
      <c r="W9" s="194"/>
      <c r="X9" s="201"/>
      <c r="Y9" s="204" t="s">
        <v>182</v>
      </c>
      <c r="Z9" s="194" t="s">
        <v>183</v>
      </c>
      <c r="AA9" s="194" t="s">
        <v>184</v>
      </c>
      <c r="AB9" s="194" t="s">
        <v>185</v>
      </c>
      <c r="AC9" s="194"/>
      <c r="AD9" s="194"/>
      <c r="AE9" s="194"/>
      <c r="AF9" s="201"/>
      <c r="AG9" s="204"/>
      <c r="AH9" s="194"/>
      <c r="AI9" s="194"/>
      <c r="AJ9" s="205"/>
      <c r="AK9" s="193"/>
      <c r="AL9" s="194"/>
      <c r="AM9" s="194"/>
      <c r="AN9" s="201"/>
      <c r="AO9" s="282">
        <v>0</v>
      </c>
      <c r="AP9" s="167">
        <v>0</v>
      </c>
      <c r="AQ9" s="167">
        <v>0</v>
      </c>
      <c r="AR9" s="206">
        <v>0</v>
      </c>
      <c r="AS9" s="380" t="s">
        <v>1075</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1076</v>
      </c>
      <c r="EP9" s="1336"/>
      <c r="EQ9" s="1336"/>
      <c r="ER9" s="1341">
        <v>1200</v>
      </c>
      <c r="ES9" s="1336"/>
      <c r="ET9" s="1523"/>
      <c r="EU9" s="1523"/>
    </row>
    <row r="10" spans="1:151" ht="14.25" customHeight="1">
      <c r="A10" s="20" t="s">
        <v>191</v>
      </c>
      <c r="B10" s="21" t="s">
        <v>522</v>
      </c>
      <c r="C10" s="22" t="s">
        <v>8</v>
      </c>
      <c r="D10" s="23" t="s">
        <v>114</v>
      </c>
      <c r="E10" s="21" t="s">
        <v>114</v>
      </c>
      <c r="F10" s="21" t="s">
        <v>186</v>
      </c>
      <c r="G10" s="6"/>
      <c r="H10" s="28"/>
      <c r="I10" s="193">
        <v>76</v>
      </c>
      <c r="J10" s="194">
        <v>60</v>
      </c>
      <c r="K10" s="194">
        <v>25</v>
      </c>
      <c r="L10" s="194">
        <v>111</v>
      </c>
      <c r="M10" s="194">
        <v>10</v>
      </c>
      <c r="N10" s="194">
        <v>6</v>
      </c>
      <c r="O10" s="194">
        <v>8</v>
      </c>
      <c r="P10" s="194">
        <v>2</v>
      </c>
      <c r="Q10" s="194">
        <v>1</v>
      </c>
      <c r="R10" s="194">
        <v>41</v>
      </c>
      <c r="S10" s="194">
        <v>42</v>
      </c>
      <c r="T10" s="194">
        <v>46</v>
      </c>
      <c r="U10" s="194">
        <v>12</v>
      </c>
      <c r="V10" s="194">
        <v>76</v>
      </c>
      <c r="W10" s="194">
        <v>1</v>
      </c>
      <c r="X10" s="201">
        <v>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1" t="s">
        <v>1069</v>
      </c>
      <c r="AT10" s="205"/>
      <c r="AU10" s="213"/>
      <c r="AV10" s="205"/>
      <c r="AW10" s="213"/>
      <c r="AX10" s="205"/>
      <c r="AY10" s="138">
        <f t="shared" ref="AY10:BC10" si="0">IF(ISNUMBER(S10),S10," - ")</f>
        <v>42</v>
      </c>
      <c r="AZ10" s="139">
        <f t="shared" si="0"/>
        <v>46</v>
      </c>
      <c r="BA10" s="139">
        <f t="shared" si="0"/>
        <v>12</v>
      </c>
      <c r="BB10" s="139">
        <f t="shared" si="0"/>
        <v>76</v>
      </c>
      <c r="BC10" s="135">
        <f t="shared" si="0"/>
        <v>1</v>
      </c>
      <c r="BD10" s="136">
        <f>IF(ISNUMBER(BA10/AZ10),BA10/AZ10," - ")</f>
        <v>0.2608695652173913</v>
      </c>
      <c r="BE10" s="137">
        <f>IF(ISNUMBER(BB10/BA10),BB10/BA10, " - ")</f>
        <v>6.333333333333333</v>
      </c>
      <c r="BF10" s="137">
        <f>IF(ISNUMBER(BC10/BA10),BC10/BA10, " - ")</f>
        <v>8.3333333333333329E-2</v>
      </c>
      <c r="BG10" s="209">
        <f>IF(ISNUMBER((AY10+AZ10)/BA10),(AY10+AZ10)/BA10," - ")</f>
        <v>7.333333333333333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1043</v>
      </c>
      <c r="EP10" s="381"/>
      <c r="EQ10" s="381"/>
      <c r="ER10" s="1342">
        <v>1600</v>
      </c>
      <c r="ES10" s="381"/>
      <c r="ET10" s="1523"/>
      <c r="EU10" s="1523"/>
    </row>
    <row r="11" spans="1:151" ht="14.25" customHeight="1" thickBot="1">
      <c r="A11" s="20" t="s">
        <v>523</v>
      </c>
      <c r="B11" s="21" t="s">
        <v>522</v>
      </c>
      <c r="C11" s="22" t="s">
        <v>8</v>
      </c>
      <c r="D11" s="23" t="s">
        <v>25</v>
      </c>
      <c r="E11" s="21" t="s">
        <v>78</v>
      </c>
      <c r="F11" s="21">
        <v>32</v>
      </c>
      <c r="G11" s="6"/>
      <c r="H11" s="28" t="s">
        <v>52</v>
      </c>
      <c r="I11" s="195" t="s">
        <v>1096</v>
      </c>
      <c r="J11" s="196" t="s">
        <v>1077</v>
      </c>
      <c r="K11" s="196" t="s">
        <v>1097</v>
      </c>
      <c r="L11" s="196" t="s">
        <v>1116</v>
      </c>
      <c r="M11" s="196" t="s">
        <v>655</v>
      </c>
      <c r="N11" s="196" t="s">
        <v>671</v>
      </c>
      <c r="O11" s="194" t="s">
        <v>289</v>
      </c>
      <c r="P11" s="196" t="s">
        <v>57</v>
      </c>
      <c r="Q11" s="196" t="s">
        <v>58</v>
      </c>
      <c r="R11" s="196" t="s">
        <v>125</v>
      </c>
      <c r="S11" s="196"/>
      <c r="T11" s="196"/>
      <c r="U11" s="196"/>
      <c r="V11" s="196"/>
      <c r="W11" s="196"/>
      <c r="X11" s="202"/>
      <c r="Y11" s="204" t="s">
        <v>182</v>
      </c>
      <c r="Z11" s="194" t="s">
        <v>183</v>
      </c>
      <c r="AA11" s="194" t="s">
        <v>184</v>
      </c>
      <c r="AB11" s="194" t="s">
        <v>185</v>
      </c>
      <c r="AC11" s="196"/>
      <c r="AD11" s="196"/>
      <c r="AE11" s="196"/>
      <c r="AF11" s="202"/>
      <c r="AG11" s="215"/>
      <c r="AH11" s="196"/>
      <c r="AI11" s="196"/>
      <c r="AJ11" s="216"/>
      <c r="AK11" s="195"/>
      <c r="AL11" s="196"/>
      <c r="AM11" s="196"/>
      <c r="AN11" s="202"/>
      <c r="AO11" s="283">
        <v>0</v>
      </c>
      <c r="AP11" s="168">
        <v>0</v>
      </c>
      <c r="AQ11" s="168">
        <v>0</v>
      </c>
      <c r="AR11" s="167">
        <v>0</v>
      </c>
      <c r="AS11" s="382" t="s">
        <v>1078</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1079</v>
      </c>
      <c r="EP11" s="1337"/>
      <c r="EQ11" s="1337"/>
      <c r="ER11" s="1343">
        <v>1323</v>
      </c>
      <c r="ES11" s="1337"/>
      <c r="ET11" s="1523"/>
      <c r="EU11" s="1523"/>
    </row>
    <row r="12" spans="1:151" ht="14.25" customHeight="1">
      <c r="A12" s="20" t="s">
        <v>524</v>
      </c>
      <c r="B12" s="21" t="s">
        <v>522</v>
      </c>
      <c r="C12" s="22" t="s">
        <v>8</v>
      </c>
      <c r="D12" s="23" t="s">
        <v>25</v>
      </c>
      <c r="E12" s="21" t="s">
        <v>25</v>
      </c>
      <c r="F12" s="21">
        <v>31</v>
      </c>
      <c r="G12" s="6"/>
      <c r="H12" s="229"/>
      <c r="I12" s="195">
        <v>6563</v>
      </c>
      <c r="J12" s="196">
        <v>6911</v>
      </c>
      <c r="K12" s="196">
        <v>5450</v>
      </c>
      <c r="L12" s="196">
        <v>8034</v>
      </c>
      <c r="M12" s="196">
        <v>1431</v>
      </c>
      <c r="N12" s="196">
        <v>1952</v>
      </c>
      <c r="O12" s="194">
        <v>2444</v>
      </c>
      <c r="P12" s="196">
        <v>1707</v>
      </c>
      <c r="Q12" s="196">
        <v>1741</v>
      </c>
      <c r="R12" s="196">
        <v>9731</v>
      </c>
      <c r="S12" s="196">
        <v>4614</v>
      </c>
      <c r="T12" s="196">
        <v>5821</v>
      </c>
      <c r="U12" s="196">
        <v>4163</v>
      </c>
      <c r="V12" s="196">
        <v>6563</v>
      </c>
      <c r="W12" s="196">
        <v>1122</v>
      </c>
      <c r="X12" s="202">
        <v>1483</v>
      </c>
      <c r="Y12" s="204">
        <v>145</v>
      </c>
      <c r="Z12" s="194">
        <v>372</v>
      </c>
      <c r="AA12" s="194">
        <v>366</v>
      </c>
      <c r="AB12" s="194">
        <v>168</v>
      </c>
      <c r="AC12" s="196">
        <v>0</v>
      </c>
      <c r="AD12" s="196">
        <v>0</v>
      </c>
      <c r="AE12" s="196">
        <v>0</v>
      </c>
      <c r="AF12" s="202">
        <v>0</v>
      </c>
      <c r="AG12" s="215">
        <v>143</v>
      </c>
      <c r="AH12" s="196">
        <v>208</v>
      </c>
      <c r="AI12" s="196">
        <v>220</v>
      </c>
      <c r="AJ12" s="216">
        <v>145</v>
      </c>
      <c r="AK12" s="195">
        <v>0</v>
      </c>
      <c r="AL12" s="196">
        <v>0</v>
      </c>
      <c r="AM12" s="196">
        <v>0</v>
      </c>
      <c r="AN12" s="202">
        <v>0</v>
      </c>
      <c r="AO12" s="283">
        <v>9</v>
      </c>
      <c r="AP12" s="168">
        <v>9</v>
      </c>
      <c r="AQ12" s="168">
        <v>9</v>
      </c>
      <c r="AR12" s="167">
        <v>9</v>
      </c>
      <c r="AS12" s="382" t="s">
        <v>1080</v>
      </c>
      <c r="AT12" s="216"/>
      <c r="AU12" s="215"/>
      <c r="AV12" s="216"/>
      <c r="AW12" s="215"/>
      <c r="AX12" s="216"/>
      <c r="AY12" s="136">
        <f t="shared" si="1"/>
        <v>4757</v>
      </c>
      <c r="AZ12" s="137">
        <f t="shared" si="1"/>
        <v>6029</v>
      </c>
      <c r="BA12" s="137">
        <f t="shared" si="1"/>
        <v>4383</v>
      </c>
      <c r="BB12" s="137">
        <f t="shared" si="1"/>
        <v>6708</v>
      </c>
      <c r="BC12" s="135">
        <f>IF(ISNUMBER(X12),X12," - ")</f>
        <v>1483</v>
      </c>
      <c r="BD12" s="136">
        <f t="shared" si="2"/>
        <v>0.72698623320617017</v>
      </c>
      <c r="BE12" s="137">
        <f t="shared" si="3"/>
        <v>1.5304585900068446</v>
      </c>
      <c r="BF12" s="137">
        <f t="shared" si="4"/>
        <v>0.33835272644307551</v>
      </c>
      <c r="BG12" s="209">
        <f t="shared" si="5"/>
        <v>2.460871549167237</v>
      </c>
      <c r="BH12" s="168">
        <v>9</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1081</v>
      </c>
      <c r="EP12" s="1338"/>
      <c r="EQ12" s="1338"/>
      <c r="ER12" s="1341">
        <v>680</v>
      </c>
      <c r="ES12" s="1338"/>
      <c r="ET12" s="1523"/>
      <c r="EU12" s="1523"/>
    </row>
    <row r="13" spans="1:151" ht="14.25" customHeight="1">
      <c r="A13" s="20" t="s">
        <v>145</v>
      </c>
      <c r="B13" s="21" t="s">
        <v>522</v>
      </c>
      <c r="C13" s="22" t="s">
        <v>8</v>
      </c>
      <c r="D13" s="23" t="s">
        <v>28</v>
      </c>
      <c r="E13" s="21" t="s">
        <v>28</v>
      </c>
      <c r="F13" s="21" t="s">
        <v>104</v>
      </c>
      <c r="G13" s="6"/>
      <c r="H13" s="229"/>
      <c r="I13" s="195" t="s">
        <v>141</v>
      </c>
      <c r="J13" s="196" t="s">
        <v>142</v>
      </c>
      <c r="K13" s="196" t="s">
        <v>143</v>
      </c>
      <c r="L13" s="196" t="s">
        <v>144</v>
      </c>
      <c r="M13" s="196" t="s">
        <v>140</v>
      </c>
      <c r="N13" s="196" t="s">
        <v>673</v>
      </c>
      <c r="O13" s="196" t="s">
        <v>297</v>
      </c>
      <c r="P13" s="196" t="s">
        <v>199</v>
      </c>
      <c r="Q13" s="196" t="s">
        <v>201</v>
      </c>
      <c r="R13" s="196" t="s">
        <v>200</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2"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142</v>
      </c>
      <c r="EP13" s="1339"/>
      <c r="EQ13" s="1339"/>
      <c r="ER13" s="1343">
        <v>875</v>
      </c>
      <c r="ES13" s="1339"/>
      <c r="ET13" s="1523"/>
      <c r="EU13" s="1523"/>
    </row>
    <row r="14" spans="1:151" ht="14.25" customHeight="1" thickBot="1">
      <c r="A14" s="77" t="s">
        <v>5</v>
      </c>
      <c r="B14" s="78" t="s">
        <v>522</v>
      </c>
      <c r="C14" s="79" t="s">
        <v>9</v>
      </c>
      <c r="D14" s="80"/>
      <c r="E14" s="81"/>
      <c r="F14" s="81"/>
      <c r="G14" s="82"/>
      <c r="H14" s="83"/>
      <c r="I14" s="197">
        <f t="shared" ref="I14:AE14" si="7">SUBTOTAL(9,I8:I13)</f>
        <v>6639</v>
      </c>
      <c r="J14" s="197">
        <f t="shared" si="7"/>
        <v>6971</v>
      </c>
      <c r="K14" s="197">
        <f t="shared" si="7"/>
        <v>5475</v>
      </c>
      <c r="L14" s="197">
        <f t="shared" si="7"/>
        <v>8145</v>
      </c>
      <c r="M14" s="197">
        <f t="shared" si="7"/>
        <v>1441</v>
      </c>
      <c r="N14" s="197">
        <f t="shared" si="7"/>
        <v>1958</v>
      </c>
      <c r="O14" s="197">
        <f t="shared" si="7"/>
        <v>2452</v>
      </c>
      <c r="P14" s="197">
        <f t="shared" si="7"/>
        <v>1709</v>
      </c>
      <c r="Q14" s="197">
        <f t="shared" si="7"/>
        <v>1742</v>
      </c>
      <c r="R14" s="197">
        <f t="shared" si="7"/>
        <v>9772</v>
      </c>
      <c r="S14" s="197">
        <f t="shared" si="7"/>
        <v>4656</v>
      </c>
      <c r="T14" s="197">
        <f t="shared" si="7"/>
        <v>5867</v>
      </c>
      <c r="U14" s="197">
        <f t="shared" si="7"/>
        <v>4175</v>
      </c>
      <c r="V14" s="197">
        <f t="shared" si="7"/>
        <v>6639</v>
      </c>
      <c r="W14" s="197">
        <f t="shared" si="7"/>
        <v>1123</v>
      </c>
      <c r="X14" s="197">
        <f t="shared" si="7"/>
        <v>1489</v>
      </c>
      <c r="Y14" s="197">
        <f t="shared" si="7"/>
        <v>145</v>
      </c>
      <c r="Z14" s="197">
        <f t="shared" si="7"/>
        <v>372</v>
      </c>
      <c r="AA14" s="197">
        <f t="shared" si="7"/>
        <v>366</v>
      </c>
      <c r="AB14" s="197">
        <f t="shared" si="7"/>
        <v>168</v>
      </c>
      <c r="AC14" s="197">
        <f t="shared" si="7"/>
        <v>0</v>
      </c>
      <c r="AD14" s="197">
        <f t="shared" si="7"/>
        <v>0</v>
      </c>
      <c r="AE14" s="197">
        <f t="shared" si="7"/>
        <v>0</v>
      </c>
      <c r="AF14" s="197">
        <f>SUBTOTAL(9,AF9:AF13)</f>
        <v>0</v>
      </c>
      <c r="AG14" s="197">
        <f t="shared" ref="AG14:AT14" si="8">SUBTOTAL(9,AG8:AG13)</f>
        <v>143</v>
      </c>
      <c r="AH14" s="197">
        <f t="shared" si="8"/>
        <v>208</v>
      </c>
      <c r="AI14" s="197">
        <f t="shared" si="8"/>
        <v>220</v>
      </c>
      <c r="AJ14" s="197">
        <f t="shared" si="8"/>
        <v>145</v>
      </c>
      <c r="AK14" s="197">
        <f t="shared" si="8"/>
        <v>0</v>
      </c>
      <c r="AL14" s="197">
        <f t="shared" si="8"/>
        <v>0</v>
      </c>
      <c r="AM14" s="197">
        <f t="shared" si="8"/>
        <v>0</v>
      </c>
      <c r="AN14" s="197">
        <f t="shared" si="8"/>
        <v>0</v>
      </c>
      <c r="AO14" s="197">
        <f t="shared" si="8"/>
        <v>10</v>
      </c>
      <c r="AP14" s="197">
        <f t="shared" si="8"/>
        <v>9</v>
      </c>
      <c r="AQ14" s="197">
        <f t="shared" si="8"/>
        <v>9</v>
      </c>
      <c r="AR14" s="197">
        <f t="shared" si="8"/>
        <v>9</v>
      </c>
      <c r="AS14" s="197">
        <f t="shared" si="8"/>
        <v>0</v>
      </c>
      <c r="AT14" s="197">
        <f t="shared" si="8"/>
        <v>0</v>
      </c>
      <c r="AU14" s="217"/>
      <c r="AV14" s="142"/>
      <c r="AW14" s="217"/>
      <c r="AX14" s="142"/>
      <c r="AY14" s="197">
        <f>SUBTOTAL(9,AY8:AY13)</f>
        <v>4799</v>
      </c>
      <c r="AZ14" s="197">
        <f>SUBTOTAL(9,AZ8:AZ13)</f>
        <v>6075</v>
      </c>
      <c r="BA14" s="197">
        <f>SUBTOTAL(9,BA8:BA13)</f>
        <v>4395</v>
      </c>
      <c r="BB14" s="197">
        <f>SUBTOTAL(9,BB8:BB13)</f>
        <v>6784</v>
      </c>
      <c r="BC14" s="197">
        <f>SUBTOTAL(9,BC8:BC13)</f>
        <v>1484</v>
      </c>
      <c r="BD14" s="219">
        <f>IF(ISNUMBER(BA14/AZ14),BA14/AZ14," - ")</f>
        <v>0.72345679012345676</v>
      </c>
      <c r="BE14" s="220">
        <f>IF(ISNUMBER(BB14/BA14),BB14/BA14, " - ")</f>
        <v>1.5435722411831627</v>
      </c>
      <c r="BF14" s="220">
        <f>IF(ISNUMBER(BC14/BA14),BC14/BA14, " - ")</f>
        <v>0.33765642775881682</v>
      </c>
      <c r="BG14" s="221">
        <f>IF(ISNUMBER((AY14+AZ14)/BA14),(AY14+AZ14)/BA14," - ")</f>
        <v>2.474175199089875</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147</v>
      </c>
      <c r="B15" s="85" t="s">
        <v>522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525</v>
      </c>
      <c r="B16" s="21" t="s">
        <v>522</v>
      </c>
      <c r="C16" s="22" t="s">
        <v>8</v>
      </c>
      <c r="D16" s="23" t="s">
        <v>25</v>
      </c>
      <c r="E16" s="21" t="s">
        <v>27</v>
      </c>
      <c r="F16" s="21">
        <v>33</v>
      </c>
      <c r="G16" s="6"/>
      <c r="H16" s="24"/>
      <c r="I16" s="195" t="s">
        <v>653</v>
      </c>
      <c r="J16" s="196" t="s">
        <v>649</v>
      </c>
      <c r="K16" s="196" t="s">
        <v>650</v>
      </c>
      <c r="L16" s="196" t="s">
        <v>651</v>
      </c>
      <c r="M16" s="196" t="s">
        <v>657</v>
      </c>
      <c r="N16" s="196" t="s">
        <v>203</v>
      </c>
      <c r="O16" s="194" t="s">
        <v>290</v>
      </c>
      <c r="P16" s="196" t="s">
        <v>635</v>
      </c>
      <c r="Q16" s="196" t="s">
        <v>636</v>
      </c>
      <c r="R16" s="196" t="s">
        <v>637</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2" t="s">
        <v>699</v>
      </c>
      <c r="AT16" s="216" t="s">
        <v>427</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1082</v>
      </c>
      <c r="EP16" s="1337"/>
      <c r="EQ16" s="1337"/>
      <c r="ER16" s="1343">
        <v>3300</v>
      </c>
      <c r="ES16" s="1337"/>
      <c r="ET16" s="1523"/>
      <c r="EU16" s="1523"/>
    </row>
    <row r="17" spans="1:151" ht="14.25" customHeight="1">
      <c r="A17" s="7" t="s">
        <v>524</v>
      </c>
      <c r="B17" s="21" t="s">
        <v>522</v>
      </c>
      <c r="C17" s="22" t="s">
        <v>8</v>
      </c>
      <c r="D17" s="23" t="s">
        <v>25</v>
      </c>
      <c r="E17" s="21" t="s">
        <v>25</v>
      </c>
      <c r="F17" s="21">
        <v>31</v>
      </c>
      <c r="G17" s="6"/>
      <c r="H17" s="24"/>
      <c r="I17" s="195">
        <v>3086</v>
      </c>
      <c r="J17" s="196">
        <v>8381</v>
      </c>
      <c r="K17" s="196">
        <v>7449</v>
      </c>
      <c r="L17" s="196">
        <v>3639</v>
      </c>
      <c r="M17" s="196">
        <v>1024</v>
      </c>
      <c r="N17" s="196">
        <v>4297</v>
      </c>
      <c r="O17" s="194">
        <v>86</v>
      </c>
      <c r="P17" s="196">
        <v>348</v>
      </c>
      <c r="Q17" s="196">
        <v>252</v>
      </c>
      <c r="R17" s="196">
        <v>428</v>
      </c>
      <c r="S17" s="196">
        <v>2366</v>
      </c>
      <c r="T17" s="196">
        <v>8107</v>
      </c>
      <c r="U17" s="196">
        <v>7445</v>
      </c>
      <c r="V17" s="196">
        <v>3086</v>
      </c>
      <c r="W17" s="196">
        <v>779</v>
      </c>
      <c r="X17" s="202">
        <v>4567</v>
      </c>
      <c r="Y17" s="215">
        <v>0</v>
      </c>
      <c r="Z17" s="196">
        <v>0</v>
      </c>
      <c r="AA17" s="196">
        <v>0</v>
      </c>
      <c r="AB17" s="196">
        <v>0</v>
      </c>
      <c r="AC17" s="196">
        <v>15</v>
      </c>
      <c r="AD17" s="196">
        <v>21</v>
      </c>
      <c r="AE17" s="196">
        <v>20</v>
      </c>
      <c r="AF17" s="202">
        <v>2</v>
      </c>
      <c r="AG17" s="215">
        <v>0</v>
      </c>
      <c r="AH17" s="196">
        <v>0</v>
      </c>
      <c r="AI17" s="196">
        <v>0</v>
      </c>
      <c r="AJ17" s="216">
        <v>0</v>
      </c>
      <c r="AK17" s="195">
        <v>3</v>
      </c>
      <c r="AL17" s="196">
        <v>93</v>
      </c>
      <c r="AM17" s="196">
        <v>81</v>
      </c>
      <c r="AN17" s="202">
        <v>15</v>
      </c>
      <c r="AO17" s="283">
        <v>9</v>
      </c>
      <c r="AP17" s="168">
        <v>9</v>
      </c>
      <c r="AQ17" s="168">
        <v>9</v>
      </c>
      <c r="AR17" s="168">
        <v>9</v>
      </c>
      <c r="AS17" s="382" t="s">
        <v>652</v>
      </c>
      <c r="AT17" s="216"/>
      <c r="AU17" s="215"/>
      <c r="AV17" s="216"/>
      <c r="AW17" s="215"/>
      <c r="AX17" s="216"/>
      <c r="AY17" s="136">
        <f t="shared" si="10"/>
        <v>2366</v>
      </c>
      <c r="AZ17" s="137">
        <f t="shared" si="10"/>
        <v>8107</v>
      </c>
      <c r="BA17" s="137">
        <f t="shared" si="10"/>
        <v>7445</v>
      </c>
      <c r="BB17" s="137">
        <f t="shared" si="10"/>
        <v>3086</v>
      </c>
      <c r="BC17" s="135">
        <f>IF(ISNUMBER(W17),W17," - ")</f>
        <v>779</v>
      </c>
      <c r="BD17" s="136">
        <f t="shared" ref="BD17:BD22" si="12">IF(ISNUMBER(BA17/AZ17),BA17/AZ17," - ")</f>
        <v>0.91834217343036884</v>
      </c>
      <c r="BE17" s="137">
        <f t="shared" ref="BE17:BE22" si="13">IF(ISNUMBER(BB17/BA17),BB17/BA17, " - ")</f>
        <v>0.41450638012088648</v>
      </c>
      <c r="BF17" s="137">
        <f t="shared" ref="BF17:BF22" si="14">IF(ISNUMBER(BC17/BA17),BC17/BA17, " - ")</f>
        <v>0.10463398253861653</v>
      </c>
      <c r="BG17" s="209">
        <f t="shared" si="11"/>
        <v>1.4067159167226326</v>
      </c>
      <c r="BH17" s="168">
        <v>9</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1049</v>
      </c>
      <c r="EP17" s="1337"/>
      <c r="EQ17" s="1337"/>
      <c r="ER17" s="1343">
        <v>1000</v>
      </c>
      <c r="ES17" s="1337"/>
      <c r="ET17" s="1523"/>
      <c r="EU17" s="1523"/>
    </row>
    <row r="18" spans="1:151" ht="14.25" customHeight="1">
      <c r="A18" s="7" t="s">
        <v>191</v>
      </c>
      <c r="B18" s="21" t="s">
        <v>522</v>
      </c>
      <c r="C18" s="22" t="s">
        <v>8</v>
      </c>
      <c r="D18" s="23" t="s">
        <v>114</v>
      </c>
      <c r="E18" s="21" t="s">
        <v>114</v>
      </c>
      <c r="F18" s="21" t="s">
        <v>186</v>
      </c>
      <c r="G18" s="6"/>
      <c r="H18" s="24"/>
      <c r="I18" s="195">
        <v>253</v>
      </c>
      <c r="J18" s="196">
        <v>524</v>
      </c>
      <c r="K18" s="196">
        <v>375</v>
      </c>
      <c r="L18" s="196">
        <v>256</v>
      </c>
      <c r="M18" s="196">
        <v>11</v>
      </c>
      <c r="N18" s="196">
        <v>115</v>
      </c>
      <c r="O18" s="196">
        <v>0</v>
      </c>
      <c r="P18" s="196">
        <v>0</v>
      </c>
      <c r="Q18" s="196">
        <v>0</v>
      </c>
      <c r="R18" s="196">
        <v>3</v>
      </c>
      <c r="S18" s="196">
        <v>141</v>
      </c>
      <c r="T18" s="196">
        <v>503</v>
      </c>
      <c r="U18" s="196">
        <v>394</v>
      </c>
      <c r="V18" s="196">
        <v>253</v>
      </c>
      <c r="W18" s="196">
        <v>12</v>
      </c>
      <c r="X18" s="202">
        <v>147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1" t="s">
        <v>1068</v>
      </c>
      <c r="AT18" s="223"/>
      <c r="AU18" s="213"/>
      <c r="AV18" s="223"/>
      <c r="AW18" s="213"/>
      <c r="AX18" s="223"/>
      <c r="AY18" s="138">
        <f t="shared" ref="AY18:BB19" si="15">IF(ISNUMBER(S18),S18," - ")</f>
        <v>141</v>
      </c>
      <c r="AZ18" s="139">
        <f t="shared" si="15"/>
        <v>503</v>
      </c>
      <c r="BA18" s="139">
        <f t="shared" si="15"/>
        <v>394</v>
      </c>
      <c r="BB18" s="139">
        <f t="shared" si="15"/>
        <v>253</v>
      </c>
      <c r="BC18" s="135">
        <f>IF(ISNUMBER(W18),W18," - ")</f>
        <v>12</v>
      </c>
      <c r="BD18" s="136">
        <f>IF(ISNUMBER(BA18/AZ18),BA18/AZ18," - ")</f>
        <v>0.78330019880715707</v>
      </c>
      <c r="BE18" s="137">
        <f>IF(ISNUMBER(BB18/BA18),BB18/BA18, " - ")</f>
        <v>0.64213197969543145</v>
      </c>
      <c r="BF18" s="137">
        <f>IF(ISNUMBER(BC18/BA18),BC18/BA18, " - ")</f>
        <v>3.0456852791878174E-2</v>
      </c>
      <c r="BG18" s="209">
        <f>IF(ISNUMBER((AY18+AZ18)/BA18),(AY18+AZ18)/BA18," - ")</f>
        <v>1.6345177664974619</v>
      </c>
      <c r="BH18" s="168">
        <v>1</v>
      </c>
      <c r="BI18" s="168"/>
      <c r="BJ18" s="213"/>
      <c r="BK18" s="167"/>
      <c r="BL18" s="167"/>
      <c r="BM18" s="167">
        <v>1800</v>
      </c>
      <c r="BN18" s="167"/>
      <c r="BO18" s="167"/>
      <c r="BP18" s="167"/>
      <c r="BQ18" s="167"/>
      <c r="BR18" s="167"/>
      <c r="BS18" s="167"/>
      <c r="BT18" s="167"/>
      <c r="BU18" s="167"/>
      <c r="BV18" s="167"/>
      <c r="BW18" s="167"/>
      <c r="BX18" s="167"/>
      <c r="BY18" s="187" t="s">
        <v>938</v>
      </c>
      <c r="BZ18" s="187" t="s">
        <v>939</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1050</v>
      </c>
      <c r="EP18" s="381"/>
      <c r="EQ18" s="381"/>
      <c r="ER18" s="1342">
        <v>1600</v>
      </c>
      <c r="ES18" s="381"/>
      <c r="ET18" s="1523"/>
      <c r="EU18" s="1523"/>
    </row>
    <row r="19" spans="1:151" ht="14.25" customHeight="1">
      <c r="A19" s="7" t="s">
        <v>526</v>
      </c>
      <c r="B19" s="21" t="s">
        <v>522</v>
      </c>
      <c r="C19" s="22" t="s">
        <v>8</v>
      </c>
      <c r="D19" s="23" t="s">
        <v>28</v>
      </c>
      <c r="E19" s="21" t="s">
        <v>28</v>
      </c>
      <c r="F19" s="21">
        <v>26</v>
      </c>
      <c r="G19" s="6"/>
      <c r="H19" s="24"/>
      <c r="I19" s="195" t="s">
        <v>67</v>
      </c>
      <c r="J19" s="196" t="s">
        <v>149</v>
      </c>
      <c r="K19" s="196" t="s">
        <v>134</v>
      </c>
      <c r="L19" s="196" t="s">
        <v>135</v>
      </c>
      <c r="M19" s="196" t="s">
        <v>139</v>
      </c>
      <c r="N19" s="196" t="s">
        <v>213</v>
      </c>
      <c r="O19" s="196" t="s">
        <v>296</v>
      </c>
      <c r="P19" s="196" t="s">
        <v>198</v>
      </c>
      <c r="Q19" s="196" t="s">
        <v>202</v>
      </c>
      <c r="R19" s="196" t="s">
        <v>210</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2" t="s">
        <v>433</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1022</v>
      </c>
      <c r="EP19" s="1337"/>
      <c r="EQ19" s="1337"/>
      <c r="ER19" s="1343">
        <v>875</v>
      </c>
      <c r="ES19" s="1337"/>
      <c r="ET19" s="1523"/>
      <c r="EU19" s="1523"/>
    </row>
    <row r="20" spans="1:151" ht="13.9" customHeight="1">
      <c r="A20" s="7" t="s">
        <v>527</v>
      </c>
      <c r="B20" s="21" t="s">
        <v>522</v>
      </c>
      <c r="C20" s="22" t="s">
        <v>8</v>
      </c>
      <c r="D20" s="23" t="s">
        <v>29</v>
      </c>
      <c r="E20" s="21" t="s">
        <v>29</v>
      </c>
      <c r="F20" s="21">
        <v>25</v>
      </c>
      <c r="G20" s="6"/>
      <c r="H20" s="24"/>
      <c r="I20" s="195" t="s">
        <v>68</v>
      </c>
      <c r="J20" s="196" t="s">
        <v>69</v>
      </c>
      <c r="K20" s="196" t="s">
        <v>117</v>
      </c>
      <c r="L20" s="196" t="s">
        <v>70</v>
      </c>
      <c r="M20" s="196" t="s">
        <v>121</v>
      </c>
      <c r="N20" s="538" t="s">
        <v>629</v>
      </c>
      <c r="O20" s="538" t="s">
        <v>630</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69</v>
      </c>
      <c r="EP20" s="538"/>
      <c r="EQ20" s="538"/>
      <c r="ER20" s="1326">
        <v>5240</v>
      </c>
      <c r="ES20" s="538"/>
      <c r="ET20" s="1523"/>
      <c r="EU20" s="1523"/>
    </row>
    <row r="21" spans="1:151" ht="14.25" customHeight="1">
      <c r="A21" s="7" t="s">
        <v>528</v>
      </c>
      <c r="B21" s="21" t="s">
        <v>522</v>
      </c>
      <c r="C21" s="22" t="s">
        <v>8</v>
      </c>
      <c r="D21" s="23" t="s">
        <v>30</v>
      </c>
      <c r="E21" s="21" t="s">
        <v>30</v>
      </c>
      <c r="F21" s="21">
        <v>22</v>
      </c>
      <c r="G21" s="6"/>
      <c r="H21" s="28" t="s">
        <v>53</v>
      </c>
      <c r="I21" s="195">
        <v>2408</v>
      </c>
      <c r="J21" s="196">
        <v>1893</v>
      </c>
      <c r="K21" s="196">
        <v>1978</v>
      </c>
      <c r="L21" s="196">
        <v>2323</v>
      </c>
      <c r="M21" s="196">
        <v>1831</v>
      </c>
      <c r="N21" s="196">
        <v>1417</v>
      </c>
      <c r="O21" s="196">
        <v>626</v>
      </c>
      <c r="P21" s="196">
        <v>2150</v>
      </c>
      <c r="Q21" s="196">
        <v>2910</v>
      </c>
      <c r="R21" s="196">
        <v>5839</v>
      </c>
      <c r="S21" s="196">
        <v>2064</v>
      </c>
      <c r="T21" s="196">
        <v>1547</v>
      </c>
      <c r="U21" s="196">
        <v>1365</v>
      </c>
      <c r="V21" s="196">
        <v>2408</v>
      </c>
      <c r="W21" s="196">
        <v>1275</v>
      </c>
      <c r="X21" s="202">
        <v>1357</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4</v>
      </c>
      <c r="AP21" s="168">
        <v>4</v>
      </c>
      <c r="AQ21" s="168">
        <v>4</v>
      </c>
      <c r="AR21" s="168">
        <v>4</v>
      </c>
      <c r="AS21" s="382" t="s">
        <v>208</v>
      </c>
      <c r="AT21" s="345"/>
      <c r="AU21" s="215"/>
      <c r="AV21" s="216"/>
      <c r="AW21" s="215"/>
      <c r="AX21" s="216"/>
      <c r="AY21" s="138">
        <f t="shared" si="16"/>
        <v>2064</v>
      </c>
      <c r="AZ21" s="139">
        <f t="shared" si="17"/>
        <v>1547</v>
      </c>
      <c r="BA21" s="139">
        <f t="shared" si="18"/>
        <v>1365</v>
      </c>
      <c r="BB21" s="139">
        <f t="shared" si="19"/>
        <v>2408</v>
      </c>
      <c r="BC21" s="135">
        <f t="shared" si="20"/>
        <v>1275</v>
      </c>
      <c r="BD21" s="136">
        <f t="shared" si="12"/>
        <v>0.88235294117647056</v>
      </c>
      <c r="BE21" s="137">
        <f t="shared" si="13"/>
        <v>1.7641025641025641</v>
      </c>
      <c r="BF21" s="137">
        <f t="shared" si="14"/>
        <v>0.93406593406593408</v>
      </c>
      <c r="BG21" s="209">
        <f t="shared" si="11"/>
        <v>2.6454212454212453</v>
      </c>
      <c r="BH21" s="168">
        <v>4</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418</v>
      </c>
      <c r="CO21" s="170">
        <v>450</v>
      </c>
      <c r="CP21" s="186" t="s">
        <v>418</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1034</v>
      </c>
      <c r="EP21" s="382"/>
      <c r="EQ21" s="382"/>
      <c r="ER21" s="1345" t="s">
        <v>1017</v>
      </c>
      <c r="ES21" s="382"/>
      <c r="ET21" s="1523"/>
      <c r="EU21" s="1523"/>
    </row>
    <row r="22" spans="1:151" ht="14.25" customHeight="1">
      <c r="A22" s="7" t="s">
        <v>529</v>
      </c>
      <c r="B22" s="21" t="s">
        <v>522</v>
      </c>
      <c r="C22" s="22" t="s">
        <v>8</v>
      </c>
      <c r="D22" s="23" t="s">
        <v>30</v>
      </c>
      <c r="E22" s="21">
        <v>10</v>
      </c>
      <c r="F22" s="21">
        <v>22</v>
      </c>
      <c r="G22" s="6"/>
      <c r="H22" s="28" t="s">
        <v>53</v>
      </c>
      <c r="I22" s="196" t="s">
        <v>121</v>
      </c>
      <c r="J22" s="196" t="s">
        <v>121</v>
      </c>
      <c r="K22" s="196" t="s">
        <v>121</v>
      </c>
      <c r="L22" s="196" t="s">
        <v>121</v>
      </c>
      <c r="M22" s="196" t="s">
        <v>121</v>
      </c>
      <c r="N22" s="196" t="s">
        <v>631</v>
      </c>
      <c r="O22" s="196" t="s">
        <v>303</v>
      </c>
      <c r="P22" s="196" t="s">
        <v>215</v>
      </c>
      <c r="Q22" s="196" t="s">
        <v>216</v>
      </c>
      <c r="R22" s="196" t="s">
        <v>217</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436</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1025</v>
      </c>
      <c r="EP22" s="382"/>
      <c r="EQ22" s="382"/>
      <c r="ER22" s="1343">
        <v>2400</v>
      </c>
      <c r="ES22" s="382"/>
      <c r="ET22" s="1523"/>
      <c r="EU22" s="1523"/>
    </row>
    <row r="23" spans="1:151" ht="14.25" customHeight="1" thickBot="1">
      <c r="A23" s="77" t="s">
        <v>5</v>
      </c>
      <c r="B23" s="78" t="s">
        <v>522</v>
      </c>
      <c r="C23" s="79" t="s">
        <v>9</v>
      </c>
      <c r="D23" s="80"/>
      <c r="E23" s="81"/>
      <c r="F23" s="81"/>
      <c r="G23" s="82"/>
      <c r="H23" s="83"/>
      <c r="I23" s="197">
        <f t="shared" ref="I23:AT23" si="21">SUBTOTAL(9,I15:I22)</f>
        <v>5747</v>
      </c>
      <c r="J23" s="197">
        <f t="shared" si="21"/>
        <v>10798</v>
      </c>
      <c r="K23" s="197">
        <f t="shared" si="21"/>
        <v>9802</v>
      </c>
      <c r="L23" s="197">
        <f t="shared" si="21"/>
        <v>6218</v>
      </c>
      <c r="M23" s="197">
        <f t="shared" si="21"/>
        <v>2866</v>
      </c>
      <c r="N23" s="197">
        <f t="shared" si="21"/>
        <v>5829</v>
      </c>
      <c r="O23" s="197">
        <f t="shared" si="21"/>
        <v>712</v>
      </c>
      <c r="P23" s="197">
        <f t="shared" si="21"/>
        <v>2498</v>
      </c>
      <c r="Q23" s="197">
        <f t="shared" si="21"/>
        <v>3162</v>
      </c>
      <c r="R23" s="197">
        <f t="shared" si="21"/>
        <v>6270</v>
      </c>
      <c r="S23" s="197">
        <f t="shared" si="21"/>
        <v>4571</v>
      </c>
      <c r="T23" s="197">
        <f t="shared" si="21"/>
        <v>10157</v>
      </c>
      <c r="U23" s="197">
        <f t="shared" si="21"/>
        <v>9204</v>
      </c>
      <c r="V23" s="197">
        <f t="shared" si="21"/>
        <v>5747</v>
      </c>
      <c r="W23" s="197">
        <f t="shared" si="21"/>
        <v>2066</v>
      </c>
      <c r="X23" s="197">
        <f t="shared" si="21"/>
        <v>6071</v>
      </c>
      <c r="Y23" s="197">
        <f t="shared" si="21"/>
        <v>0</v>
      </c>
      <c r="Z23" s="197">
        <f t="shared" si="21"/>
        <v>0</v>
      </c>
      <c r="AA23" s="197">
        <f t="shared" si="21"/>
        <v>0</v>
      </c>
      <c r="AB23" s="197">
        <f t="shared" si="21"/>
        <v>0</v>
      </c>
      <c r="AC23" s="197">
        <f t="shared" si="21"/>
        <v>15</v>
      </c>
      <c r="AD23" s="197">
        <f t="shared" si="21"/>
        <v>21</v>
      </c>
      <c r="AE23" s="197">
        <f t="shared" si="21"/>
        <v>20</v>
      </c>
      <c r="AF23" s="197">
        <f t="shared" si="21"/>
        <v>2</v>
      </c>
      <c r="AG23" s="197">
        <f t="shared" si="21"/>
        <v>0</v>
      </c>
      <c r="AH23" s="197">
        <f t="shared" si="21"/>
        <v>0</v>
      </c>
      <c r="AI23" s="197">
        <f t="shared" si="21"/>
        <v>0</v>
      </c>
      <c r="AJ23" s="197">
        <f t="shared" si="21"/>
        <v>0</v>
      </c>
      <c r="AK23" s="197">
        <f t="shared" si="21"/>
        <v>3</v>
      </c>
      <c r="AL23" s="197">
        <f t="shared" si="21"/>
        <v>93</v>
      </c>
      <c r="AM23" s="197">
        <f t="shared" si="21"/>
        <v>81</v>
      </c>
      <c r="AN23" s="197">
        <f t="shared" si="21"/>
        <v>15</v>
      </c>
      <c r="AO23" s="197">
        <f t="shared" si="21"/>
        <v>14</v>
      </c>
      <c r="AP23" s="197">
        <f t="shared" si="21"/>
        <v>13</v>
      </c>
      <c r="AQ23" s="197">
        <f t="shared" si="21"/>
        <v>13</v>
      </c>
      <c r="AR23" s="197">
        <f t="shared" si="21"/>
        <v>13</v>
      </c>
      <c r="AS23" s="197">
        <f t="shared" si="21"/>
        <v>0</v>
      </c>
      <c r="AT23" s="197">
        <f t="shared" si="21"/>
        <v>0</v>
      </c>
      <c r="AU23" s="217"/>
      <c r="AV23" s="142"/>
      <c r="AW23" s="217"/>
      <c r="AX23" s="142"/>
      <c r="AY23" s="197">
        <f>SUBTOTAL(9,AY15:AY22)</f>
        <v>4571</v>
      </c>
      <c r="AZ23" s="197">
        <f>SUBTOTAL(9,AZ15:AZ22)</f>
        <v>10157</v>
      </c>
      <c r="BA23" s="197">
        <f>SUBTOTAL(9,BA15:BA22)</f>
        <v>9204</v>
      </c>
      <c r="BB23" s="197">
        <f>SUBTOTAL(9,BB15:BB22)</f>
        <v>5747</v>
      </c>
      <c r="BC23" s="197">
        <f>SUBTOTAL(9,BC15:BC22)</f>
        <v>2066</v>
      </c>
      <c r="BD23" s="219">
        <f>IF(ISNUMBER(BA23/AZ23),BA23/AZ23," - ")</f>
        <v>0.9061730826031309</v>
      </c>
      <c r="BE23" s="220">
        <f>IF(ISNUMBER(BB23/BA23),BB23/BA23, " - ")</f>
        <v>0.62440243372446758</v>
      </c>
      <c r="BF23" s="220">
        <f>IF(ISNUMBER(BC23/BA23),BC23/BA23, " - ")</f>
        <v>0.22446762277270751</v>
      </c>
      <c r="BG23" s="221">
        <f>IF(ISNUMBER((AY23+AZ23)/BA23),(AY23+AZ23)/BA23," - ")</f>
        <v>1.6001738374619729</v>
      </c>
      <c r="BH23" s="197">
        <f>SUBTOTAL(9,BH15:BH22)</f>
        <v>14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522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522</v>
      </c>
      <c r="C25" s="22" t="s">
        <v>8</v>
      </c>
      <c r="D25" s="23">
        <v>30</v>
      </c>
      <c r="E25" s="21">
        <v>30</v>
      </c>
      <c r="F25" s="21">
        <v>23</v>
      </c>
      <c r="G25" s="6"/>
      <c r="H25" s="24"/>
      <c r="I25" s="195" t="s">
        <v>79</v>
      </c>
      <c r="J25" s="196" t="s">
        <v>80</v>
      </c>
      <c r="K25" s="196" t="s">
        <v>82</v>
      </c>
      <c r="L25" s="196" t="s">
        <v>81</v>
      </c>
      <c r="M25" s="196" t="s">
        <v>83</v>
      </c>
      <c r="N25" s="196" t="s">
        <v>628</v>
      </c>
      <c r="O25" s="196" t="s">
        <v>298</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2" t="s">
        <v>209</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80</v>
      </c>
      <c r="EP25" s="382"/>
      <c r="EQ25" s="382"/>
      <c r="ER25" s="1343">
        <v>570</v>
      </c>
      <c r="ES25" s="382"/>
      <c r="ET25" s="1523"/>
      <c r="EU25" s="1523"/>
    </row>
    <row r="26" spans="1:151" ht="14.25" customHeight="1" thickBot="1">
      <c r="A26" s="77" t="s">
        <v>5</v>
      </c>
      <c r="B26" s="78" t="s">
        <v>522</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522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522</v>
      </c>
      <c r="C28" s="22" t="s">
        <v>8</v>
      </c>
      <c r="D28" s="23" t="s">
        <v>31</v>
      </c>
      <c r="E28" s="21" t="s">
        <v>31</v>
      </c>
      <c r="F28" s="21">
        <v>24</v>
      </c>
      <c r="G28" s="6"/>
      <c r="H28" s="30" t="s">
        <v>54</v>
      </c>
      <c r="I28" s="195" t="s">
        <v>37</v>
      </c>
      <c r="J28" s="196" t="s">
        <v>377</v>
      </c>
      <c r="K28" s="196" t="s">
        <v>39</v>
      </c>
      <c r="L28" s="196" t="s">
        <v>38</v>
      </c>
      <c r="M28" s="196" t="s">
        <v>174</v>
      </c>
      <c r="N28" s="196" t="s">
        <v>704</v>
      </c>
      <c r="O28" s="196" t="s">
        <v>299</v>
      </c>
      <c r="P28" s="196" t="s">
        <v>136</v>
      </c>
      <c r="Q28" s="196" t="s">
        <v>137</v>
      </c>
      <c r="R28" s="196" t="s">
        <v>138</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2" t="s">
        <v>207</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417</v>
      </c>
      <c r="CO28" s="170">
        <v>850</v>
      </c>
      <c r="CP28" s="186" t="s">
        <v>417</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1013</v>
      </c>
      <c r="EP28" s="1340"/>
      <c r="EQ28" s="1340"/>
      <c r="ER28" s="1345" t="s">
        <v>1016</v>
      </c>
      <c r="ES28" s="1340"/>
      <c r="ET28" s="1523"/>
      <c r="EU28" s="1523"/>
    </row>
    <row r="29" spans="1:151" ht="14.25" customHeight="1">
      <c r="A29" s="7" t="s">
        <v>4</v>
      </c>
      <c r="B29" s="21" t="s">
        <v>522</v>
      </c>
      <c r="C29" s="22" t="s">
        <v>8</v>
      </c>
      <c r="D29" s="23" t="s">
        <v>31</v>
      </c>
      <c r="E29" s="21" t="s">
        <v>32</v>
      </c>
      <c r="F29" s="21">
        <v>24</v>
      </c>
      <c r="G29" s="6"/>
      <c r="H29" s="30" t="s">
        <v>54</v>
      </c>
      <c r="I29" s="196" t="s">
        <v>121</v>
      </c>
      <c r="J29" s="196" t="s">
        <v>121</v>
      </c>
      <c r="K29" s="196" t="s">
        <v>121</v>
      </c>
      <c r="L29" s="196" t="s">
        <v>121</v>
      </c>
      <c r="M29" s="196" t="s">
        <v>121</v>
      </c>
      <c r="N29" s="196" t="s">
        <v>705</v>
      </c>
      <c r="O29" s="196" t="s">
        <v>304</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437</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1037</v>
      </c>
      <c r="EP29" s="1337"/>
      <c r="EQ29" s="1337"/>
      <c r="ER29" s="1343">
        <v>3500</v>
      </c>
      <c r="ES29" s="1337"/>
      <c r="ET29" s="1523"/>
      <c r="EU29" s="1523"/>
    </row>
    <row r="30" spans="1:151" ht="14.25" customHeight="1" thickBot="1">
      <c r="A30" s="77" t="s">
        <v>5</v>
      </c>
      <c r="B30" s="78" t="s">
        <v>522</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41</v>
      </c>
      <c r="D31" s="99"/>
      <c r="E31" s="97"/>
      <c r="F31" s="97"/>
      <c r="G31" s="100"/>
      <c r="H31" s="101"/>
      <c r="I31" s="144">
        <f t="shared" ref="I31:AT31" si="36">SUBTOTAL(9,I9:I30)</f>
        <v>12386</v>
      </c>
      <c r="J31" s="144">
        <f t="shared" si="36"/>
        <v>17769</v>
      </c>
      <c r="K31" s="144">
        <f t="shared" si="36"/>
        <v>15277</v>
      </c>
      <c r="L31" s="144">
        <f t="shared" si="36"/>
        <v>14363</v>
      </c>
      <c r="M31" s="144">
        <f t="shared" si="36"/>
        <v>4307</v>
      </c>
      <c r="N31" s="144">
        <f t="shared" si="36"/>
        <v>7787</v>
      </c>
      <c r="O31" s="144">
        <f t="shared" si="36"/>
        <v>3164</v>
      </c>
      <c r="P31" s="144">
        <f t="shared" si="36"/>
        <v>4207</v>
      </c>
      <c r="Q31" s="144">
        <f t="shared" si="36"/>
        <v>4904</v>
      </c>
      <c r="R31" s="144">
        <f t="shared" si="36"/>
        <v>16042</v>
      </c>
      <c r="S31" s="144">
        <f t="shared" si="36"/>
        <v>9227</v>
      </c>
      <c r="T31" s="144">
        <f t="shared" si="36"/>
        <v>16024</v>
      </c>
      <c r="U31" s="144">
        <f t="shared" si="36"/>
        <v>13379</v>
      </c>
      <c r="V31" s="144">
        <f t="shared" si="36"/>
        <v>12386</v>
      </c>
      <c r="W31" s="144">
        <f t="shared" si="36"/>
        <v>3189</v>
      </c>
      <c r="X31" s="144">
        <f t="shared" si="36"/>
        <v>7560</v>
      </c>
      <c r="Y31" s="144">
        <f t="shared" si="36"/>
        <v>145</v>
      </c>
      <c r="Z31" s="144">
        <f t="shared" si="36"/>
        <v>372</v>
      </c>
      <c r="AA31" s="144">
        <f t="shared" si="36"/>
        <v>366</v>
      </c>
      <c r="AB31" s="144">
        <f t="shared" si="36"/>
        <v>168</v>
      </c>
      <c r="AC31" s="144">
        <f t="shared" si="36"/>
        <v>15</v>
      </c>
      <c r="AD31" s="144">
        <f t="shared" si="36"/>
        <v>21</v>
      </c>
      <c r="AE31" s="144">
        <f t="shared" si="36"/>
        <v>20</v>
      </c>
      <c r="AF31" s="144">
        <f t="shared" si="36"/>
        <v>2</v>
      </c>
      <c r="AG31" s="144">
        <f t="shared" si="36"/>
        <v>143</v>
      </c>
      <c r="AH31" s="144">
        <f t="shared" si="36"/>
        <v>208</v>
      </c>
      <c r="AI31" s="144">
        <f t="shared" si="36"/>
        <v>220</v>
      </c>
      <c r="AJ31" s="144">
        <f t="shared" si="36"/>
        <v>145</v>
      </c>
      <c r="AK31" s="144">
        <f t="shared" si="36"/>
        <v>3</v>
      </c>
      <c r="AL31" s="144">
        <f t="shared" si="36"/>
        <v>93</v>
      </c>
      <c r="AM31" s="144">
        <f t="shared" si="36"/>
        <v>81</v>
      </c>
      <c r="AN31" s="224">
        <f t="shared" si="36"/>
        <v>15</v>
      </c>
      <c r="AO31" s="225">
        <v>14</v>
      </c>
      <c r="AP31" s="225">
        <v>13</v>
      </c>
      <c r="AQ31" s="225">
        <v>13</v>
      </c>
      <c r="AR31" s="225">
        <v>13</v>
      </c>
      <c r="AS31" s="166">
        <f t="shared" si="36"/>
        <v>0</v>
      </c>
      <c r="AT31" s="166">
        <f t="shared" si="36"/>
        <v>0</v>
      </c>
      <c r="AU31" s="225"/>
      <c r="AV31" s="226"/>
      <c r="AW31" s="225"/>
      <c r="AX31" s="226"/>
      <c r="AY31" s="143">
        <f>SUBTOTAL(9,AY9:AY30)</f>
        <v>9370</v>
      </c>
      <c r="AZ31" s="144">
        <f>SUBTOTAL(9,AZ9:AZ30)</f>
        <v>16232</v>
      </c>
      <c r="BA31" s="144">
        <f>SUBTOTAL(9,BA9:BA30)</f>
        <v>13599</v>
      </c>
      <c r="BB31" s="144">
        <f>SUBTOTAL(9,BB9:BB30)</f>
        <v>12531</v>
      </c>
      <c r="BC31" s="145">
        <f>SUBTOTAL(9,BC9:BC30)</f>
        <v>3550</v>
      </c>
      <c r="BD31" s="227">
        <f>IF(ISNUMBER(BA31/AZ31),BA31/AZ31," - ")</f>
        <v>0.83778955150320356</v>
      </c>
      <c r="BE31" s="224">
        <f>IF(ISNUMBER(BB31/BA31),BB31/BA31, " - ")</f>
        <v>0.92146481358923449</v>
      </c>
      <c r="BF31" s="224">
        <f>IF(ISNUMBER(BC31/BA31),BC31/BA31, " - ")</f>
        <v>0.26104860651518497</v>
      </c>
      <c r="BG31" s="145">
        <f>IF(ISNUMBER((AY31+AZ31)/BA31),(AY31+AZ31)/BA31," - ")</f>
        <v>1.8826384292962717</v>
      </c>
      <c r="BH31" s="225">
        <f>SUBTOTAL(9,BH9:BH30)</f>
        <v>24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nQmmhVVfSxzfN8oD4tNyBhopeZ/KwDCCJ7AZACT8LcHfmiouDPI0fPoeM4aUVlBueEDjviXKQSgIeONNaHicA==" saltValue="sVZv8XXQ2ocD3dtxhNPR/Q==" spinCount="100000" sheet="1" objects="1" scenarios="1"/>
  <mergeCells count="119">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DH5:DH7"/>
    <mergeCell ref="CY5:CY7"/>
    <mergeCell ref="DG5:DG7"/>
    <mergeCell ref="DE5:DE7"/>
    <mergeCell ref="CQ5:CQ7"/>
    <mergeCell ref="DI5:DI7"/>
    <mergeCell ref="DS5:DS7"/>
    <mergeCell ref="DT5:DT7"/>
    <mergeCell ref="DU5:DU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C1" activePane="topRight" state="frozen"/>
      <selection pane="topRight" activeCell="EO33" sqref="EO33"/>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532</v>
      </c>
    </row>
    <row r="2" spans="1:151">
      <c r="A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352</v>
      </c>
      <c r="CF4" s="1775"/>
      <c r="CG4" s="1775"/>
      <c r="CH4" s="1776"/>
    </row>
    <row r="5" spans="1:151" ht="12.75" customHeight="1" thickBot="1">
      <c r="A5" s="1800" t="str">
        <f>"Año:  " &amp;Criterios!B5 &amp; "                  Trimestre   " &amp;Criterios!D5 &amp; " al " &amp;Criterios!D6</f>
        <v>Año:  2021                  Trimestre   1 al 4</v>
      </c>
      <c r="B5" s="1802" t="s">
        <v>519</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309</v>
      </c>
      <c r="AV5" s="1789" t="s">
        <v>307</v>
      </c>
      <c r="AW5" s="1789" t="s">
        <v>310</v>
      </c>
      <c r="AX5" s="1789" t="s">
        <v>308</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505</v>
      </c>
      <c r="BN5" s="1607"/>
      <c r="BO5" s="1608"/>
      <c r="BP5" s="1607"/>
      <c r="BQ5" s="1608"/>
      <c r="BR5" s="1607"/>
      <c r="BS5" s="1608"/>
      <c r="BT5" s="1607"/>
      <c r="BU5" s="1608"/>
      <c r="BV5" s="1791" t="s">
        <v>351</v>
      </c>
      <c r="BW5" s="1844" t="s">
        <v>329</v>
      </c>
      <c r="BX5" s="1844" t="s">
        <v>330</v>
      </c>
      <c r="BY5" s="1780" t="s">
        <v>338</v>
      </c>
      <c r="BZ5" s="1780" t="s">
        <v>465</v>
      </c>
      <c r="CA5" s="1767" t="s">
        <v>367</v>
      </c>
      <c r="CB5" s="1767" t="s">
        <v>358</v>
      </c>
      <c r="CC5" s="1767" t="s">
        <v>359</v>
      </c>
      <c r="CD5" s="1767" t="s">
        <v>360</v>
      </c>
      <c r="CE5" s="1755" t="s">
        <v>371</v>
      </c>
      <c r="CF5" s="1755" t="s">
        <v>350</v>
      </c>
      <c r="CG5" s="1755" t="s">
        <v>348</v>
      </c>
      <c r="CH5" s="1755" t="s">
        <v>349</v>
      </c>
      <c r="CI5" s="1771" t="s">
        <v>378</v>
      </c>
      <c r="CJ5" s="1771" t="s">
        <v>379</v>
      </c>
      <c r="CK5" s="1746" t="s">
        <v>604</v>
      </c>
      <c r="CL5" s="1746" t="s">
        <v>605</v>
      </c>
      <c r="CM5" s="1746" t="s">
        <v>606</v>
      </c>
      <c r="CN5" s="1768" t="s">
        <v>487</v>
      </c>
      <c r="CO5" s="1768" t="s">
        <v>480</v>
      </c>
      <c r="CP5" s="1768" t="s">
        <v>486</v>
      </c>
      <c r="CQ5" s="1761" t="s">
        <v>485</v>
      </c>
      <c r="CR5" s="1761" t="s">
        <v>61</v>
      </c>
      <c r="CS5" s="1755" t="s">
        <v>506</v>
      </c>
      <c r="CT5" s="1755" t="s">
        <v>509</v>
      </c>
      <c r="CU5" s="1755" t="s">
        <v>294</v>
      </c>
      <c r="CV5" s="1755" t="s">
        <v>407</v>
      </c>
      <c r="CW5" s="1755" t="s">
        <v>439</v>
      </c>
      <c r="CX5" s="1755" t="s">
        <v>450</v>
      </c>
      <c r="CY5" s="1755" t="s">
        <v>575</v>
      </c>
      <c r="CZ5" s="1755" t="s">
        <v>576</v>
      </c>
      <c r="DA5" s="1755" t="s">
        <v>577</v>
      </c>
      <c r="DB5" s="1727" t="s">
        <v>259</v>
      </c>
      <c r="DC5" s="1727" t="s">
        <v>260</v>
      </c>
      <c r="DD5" s="1727" t="s">
        <v>261</v>
      </c>
      <c r="DE5" s="1758" t="s">
        <v>232</v>
      </c>
      <c r="DF5" s="1758" t="s">
        <v>531</v>
      </c>
      <c r="DG5" s="1755" t="s">
        <v>590</v>
      </c>
      <c r="DH5" s="1746" t="s">
        <v>549</v>
      </c>
      <c r="DI5" s="1746" t="s">
        <v>550</v>
      </c>
      <c r="DJ5" s="1746" t="s">
        <v>587</v>
      </c>
      <c r="DK5" s="1746" t="s">
        <v>641</v>
      </c>
      <c r="DL5" s="1746" t="s">
        <v>644</v>
      </c>
      <c r="DM5" s="1745" t="s">
        <v>710</v>
      </c>
      <c r="DN5" s="1745" t="s">
        <v>711</v>
      </c>
      <c r="DO5" s="1745" t="s">
        <v>712</v>
      </c>
      <c r="DP5" s="1745" t="s">
        <v>713</v>
      </c>
      <c r="DQ5" s="1745" t="s">
        <v>714</v>
      </c>
      <c r="DR5" s="1745" t="s">
        <v>715</v>
      </c>
      <c r="DS5" s="1745" t="s">
        <v>716</v>
      </c>
      <c r="DT5" s="1745" t="s">
        <v>717</v>
      </c>
      <c r="DU5" s="1752" t="s">
        <v>718</v>
      </c>
      <c r="DV5" s="1752" t="s">
        <v>719</v>
      </c>
      <c r="DW5" s="1749" t="s">
        <v>720</v>
      </c>
      <c r="DX5" s="1745" t="s">
        <v>721</v>
      </c>
      <c r="DY5" s="1733" t="s">
        <v>722</v>
      </c>
      <c r="DZ5" s="1749" t="s">
        <v>723</v>
      </c>
      <c r="EA5" s="1733" t="s">
        <v>724</v>
      </c>
      <c r="EB5" s="1742" t="s">
        <v>784</v>
      </c>
      <c r="EC5" s="1742" t="s">
        <v>821</v>
      </c>
      <c r="ED5" s="1742" t="s">
        <v>786</v>
      </c>
      <c r="EE5" s="1742" t="s">
        <v>826</v>
      </c>
      <c r="EF5" s="1742" t="s">
        <v>827</v>
      </c>
      <c r="EG5" s="1733" t="s">
        <v>828</v>
      </c>
      <c r="EH5" s="1733" t="s">
        <v>829</v>
      </c>
      <c r="EI5" s="1733" t="s">
        <v>788</v>
      </c>
      <c r="EJ5" s="1733" t="s">
        <v>789</v>
      </c>
      <c r="EK5" s="1841" t="s">
        <v>877</v>
      </c>
      <c r="EL5" s="1736" t="s">
        <v>895</v>
      </c>
      <c r="EM5" s="1737"/>
      <c r="EN5" s="1738"/>
      <c r="EO5" s="1727" t="s">
        <v>1001</v>
      </c>
      <c r="EP5" s="1727" t="s">
        <v>1003</v>
      </c>
      <c r="EQ5" s="1727" t="s">
        <v>1004</v>
      </c>
      <c r="ER5" s="1727" t="s">
        <v>1010</v>
      </c>
      <c r="ES5" s="1727" t="s">
        <v>1020</v>
      </c>
      <c r="ET5" s="1724" t="s">
        <v>1137</v>
      </c>
      <c r="EU5" s="1724" t="s">
        <v>1138</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845"/>
      <c r="BX6" s="1845"/>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53"/>
      <c r="DV6" s="1753"/>
      <c r="DW6" s="1750"/>
      <c r="DX6" s="1651"/>
      <c r="DY6" s="1734"/>
      <c r="DZ6" s="1750"/>
      <c r="EA6" s="1734"/>
      <c r="EB6" s="1743"/>
      <c r="EC6" s="1743"/>
      <c r="ED6" s="1743"/>
      <c r="EE6" s="1743"/>
      <c r="EF6" s="1743"/>
      <c r="EG6" s="1734"/>
      <c r="EH6" s="1734"/>
      <c r="EI6" s="1734"/>
      <c r="EJ6" s="1734"/>
      <c r="EK6" s="1842"/>
      <c r="EL6" s="1739"/>
      <c r="EM6" s="1740"/>
      <c r="EN6" s="1741"/>
      <c r="EO6" s="1728"/>
      <c r="EP6" s="1728"/>
      <c r="EQ6" s="1728"/>
      <c r="ER6" s="1728"/>
      <c r="ES6" s="1728"/>
      <c r="ET6" s="1725"/>
      <c r="EU6" s="1725"/>
    </row>
    <row r="7" spans="1:151" ht="87" customHeight="1" thickBot="1">
      <c r="A7" s="72" t="s">
        <v>1000</v>
      </c>
      <c r="B7" s="1804"/>
      <c r="C7" s="1807"/>
      <c r="D7" s="69" t="s">
        <v>520</v>
      </c>
      <c r="E7" s="70" t="s">
        <v>173</v>
      </c>
      <c r="F7" s="70" t="s">
        <v>172</v>
      </c>
      <c r="G7" s="131" t="s">
        <v>51</v>
      </c>
      <c r="H7" s="132" t="s">
        <v>521</v>
      </c>
      <c r="I7" s="9" t="s">
        <v>493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846"/>
      <c r="BX7" s="1846"/>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54"/>
      <c r="DV7" s="1754"/>
      <c r="DW7" s="1751"/>
      <c r="DX7" s="1652"/>
      <c r="DY7" s="1735"/>
      <c r="DZ7" s="1751"/>
      <c r="EA7" s="1735"/>
      <c r="EB7" s="1744"/>
      <c r="EC7" s="1744"/>
      <c r="ED7" s="1744"/>
      <c r="EE7" s="1744"/>
      <c r="EF7" s="1744"/>
      <c r="EG7" s="1735"/>
      <c r="EH7" s="1735"/>
      <c r="EI7" s="1735"/>
      <c r="EJ7" s="1735"/>
      <c r="EK7" s="1843"/>
      <c r="EL7" s="852" t="s">
        <v>896</v>
      </c>
      <c r="EM7" s="852" t="s">
        <v>129</v>
      </c>
      <c r="EN7" s="852" t="s">
        <v>130</v>
      </c>
      <c r="EO7" s="1729"/>
      <c r="EP7" s="1729"/>
      <c r="EQ7" s="1729"/>
      <c r="ER7" s="1729"/>
      <c r="ES7" s="1729"/>
      <c r="ET7" s="1726"/>
      <c r="EU7" s="1726"/>
    </row>
    <row r="8" spans="1:151" ht="14.25" customHeight="1" thickBot="1">
      <c r="A8" s="73" t="s">
        <v>148</v>
      </c>
      <c r="B8" s="151" t="s">
        <v>522</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222</v>
      </c>
      <c r="AO8" s="53" t="s">
        <v>118</v>
      </c>
      <c r="AP8" s="53" t="s">
        <v>122</v>
      </c>
      <c r="AQ8" s="53" t="s">
        <v>150</v>
      </c>
      <c r="AR8" s="53" t="s">
        <v>151</v>
      </c>
      <c r="AS8" s="53" t="s">
        <v>152</v>
      </c>
      <c r="AT8" s="53" t="s">
        <v>153</v>
      </c>
      <c r="AU8" s="53" t="s">
        <v>157</v>
      </c>
      <c r="AV8" s="53" t="s">
        <v>158</v>
      </c>
      <c r="AW8" s="53" t="s">
        <v>159</v>
      </c>
      <c r="AX8" s="53" t="s">
        <v>160</v>
      </c>
      <c r="AY8" s="53" t="s">
        <v>161</v>
      </c>
      <c r="AZ8" s="53" t="s">
        <v>178</v>
      </c>
      <c r="BA8" s="53" t="s">
        <v>186</v>
      </c>
      <c r="BB8" s="53" t="s">
        <v>197</v>
      </c>
      <c r="BC8" s="53" t="s">
        <v>282</v>
      </c>
      <c r="BD8" s="53" t="s">
        <v>206</v>
      </c>
      <c r="BE8" s="53" t="s">
        <v>220</v>
      </c>
      <c r="BF8" s="53" t="s">
        <v>221</v>
      </c>
      <c r="BG8" s="53" t="s">
        <v>277</v>
      </c>
      <c r="BH8" s="53" t="s">
        <v>278</v>
      </c>
      <c r="BI8" s="53" t="s">
        <v>285</v>
      </c>
      <c r="BJ8" s="53" t="s">
        <v>300</v>
      </c>
      <c r="BK8" s="53" t="s">
        <v>305</v>
      </c>
      <c r="BL8" s="53" t="s">
        <v>306</v>
      </c>
      <c r="BM8" s="53"/>
      <c r="BN8" s="53"/>
      <c r="BO8" s="53"/>
      <c r="BP8" s="53"/>
      <c r="BQ8" s="53"/>
      <c r="BR8" s="53"/>
      <c r="BS8" s="53"/>
      <c r="BT8" s="53"/>
      <c r="BU8" s="53"/>
      <c r="BV8" s="53" t="s">
        <v>362</v>
      </c>
      <c r="BW8" s="53" t="s">
        <v>363</v>
      </c>
      <c r="BX8" s="53" t="s">
        <v>368</v>
      </c>
      <c r="BY8" s="53" t="s">
        <v>370</v>
      </c>
      <c r="BZ8" s="53" t="s">
        <v>380</v>
      </c>
      <c r="CA8" s="53" t="s">
        <v>381</v>
      </c>
      <c r="CB8" s="53" t="s">
        <v>466</v>
      </c>
      <c r="CC8" s="53" t="s">
        <v>469</v>
      </c>
      <c r="CD8" s="53" t="s">
        <v>471</v>
      </c>
      <c r="CE8" s="53" t="s">
        <v>481</v>
      </c>
      <c r="CF8" s="53" t="s">
        <v>482</v>
      </c>
      <c r="CG8" s="53" t="s">
        <v>483</v>
      </c>
      <c r="CH8" s="53" t="s">
        <v>484</v>
      </c>
      <c r="CI8" s="53" t="s">
        <v>508</v>
      </c>
      <c r="CJ8" s="53" t="s">
        <v>510</v>
      </c>
      <c r="CK8" s="53" t="s">
        <v>295</v>
      </c>
      <c r="CL8" s="53" t="s">
        <v>414</v>
      </c>
      <c r="CM8" s="53" t="s">
        <v>419</v>
      </c>
      <c r="CN8" s="53"/>
      <c r="CO8" s="53"/>
      <c r="CP8" s="53"/>
      <c r="CQ8" s="53" t="s">
        <v>459</v>
      </c>
      <c r="CR8" s="53" t="s">
        <v>460</v>
      </c>
      <c r="CS8" s="53" t="s">
        <v>231</v>
      </c>
      <c r="CT8" s="53" t="s">
        <v>250</v>
      </c>
      <c r="CU8" s="53" t="s">
        <v>251</v>
      </c>
      <c r="CV8" s="53" t="s">
        <v>252</v>
      </c>
      <c r="CW8" s="53" t="s">
        <v>253</v>
      </c>
      <c r="CX8" s="53" t="s">
        <v>254</v>
      </c>
      <c r="CY8" s="53" t="s">
        <v>255</v>
      </c>
      <c r="CZ8" s="53" t="s">
        <v>256</v>
      </c>
      <c r="DA8" s="53" t="s">
        <v>257</v>
      </c>
      <c r="DB8" s="53" t="s">
        <v>258</v>
      </c>
      <c r="DC8" s="53" t="s">
        <v>262</v>
      </c>
      <c r="DD8" s="53" t="s">
        <v>263</v>
      </c>
      <c r="DE8" s="53" t="s">
        <v>532</v>
      </c>
      <c r="DF8" s="53" t="s">
        <v>62</v>
      </c>
      <c r="DG8" s="53">
        <v>111</v>
      </c>
      <c r="DH8" s="53" t="s">
        <v>601</v>
      </c>
      <c r="DI8" s="53" t="s">
        <v>602</v>
      </c>
      <c r="DJ8" s="536" t="s">
        <v>603</v>
      </c>
      <c r="DK8" s="536" t="s">
        <v>642</v>
      </c>
      <c r="DL8" s="536" t="s">
        <v>643</v>
      </c>
      <c r="DM8" s="536" t="s">
        <v>725</v>
      </c>
      <c r="DN8" s="536" t="s">
        <v>726</v>
      </c>
      <c r="DO8" s="536" t="s">
        <v>727</v>
      </c>
      <c r="DP8" s="536" t="s">
        <v>728</v>
      </c>
      <c r="DQ8" s="536" t="s">
        <v>729</v>
      </c>
      <c r="DR8" s="536" t="s">
        <v>730</v>
      </c>
      <c r="DS8" s="536" t="s">
        <v>731</v>
      </c>
      <c r="DT8" s="536" t="s">
        <v>732</v>
      </c>
      <c r="DU8" s="536" t="s">
        <v>733</v>
      </c>
      <c r="DV8" s="536" t="s">
        <v>734</v>
      </c>
      <c r="DW8" s="536" t="s">
        <v>735</v>
      </c>
      <c r="DX8" s="536" t="s">
        <v>736</v>
      </c>
      <c r="DY8" s="536" t="s">
        <v>737</v>
      </c>
      <c r="DZ8" s="536" t="s">
        <v>738</v>
      </c>
      <c r="EA8" s="536" t="s">
        <v>739</v>
      </c>
      <c r="EB8" s="536" t="s">
        <v>796</v>
      </c>
      <c r="EC8" s="536" t="s">
        <v>797</v>
      </c>
      <c r="ED8" s="536" t="s">
        <v>798</v>
      </c>
      <c r="EE8" s="536" t="s">
        <v>799</v>
      </c>
      <c r="EF8" s="536" t="s">
        <v>800</v>
      </c>
      <c r="EG8" s="536" t="s">
        <v>801</v>
      </c>
      <c r="EH8" s="536" t="s">
        <v>802</v>
      </c>
      <c r="EI8" s="536" t="s">
        <v>803</v>
      </c>
      <c r="EJ8" s="536" t="s">
        <v>804</v>
      </c>
      <c r="EK8" s="536" t="s">
        <v>878</v>
      </c>
      <c r="EL8" s="536" t="s">
        <v>897</v>
      </c>
      <c r="EM8" s="536" t="s">
        <v>898</v>
      </c>
      <c r="EN8" s="536" t="s">
        <v>899</v>
      </c>
      <c r="EO8" s="53" t="s">
        <v>1002</v>
      </c>
      <c r="EP8" s="53" t="s">
        <v>1008</v>
      </c>
      <c r="EQ8" s="53" t="s">
        <v>1009</v>
      </c>
      <c r="ER8" s="536">
        <v>148</v>
      </c>
      <c r="ES8" s="536" t="s">
        <v>1021</v>
      </c>
      <c r="ET8" s="1522" t="s">
        <v>1139</v>
      </c>
      <c r="EU8" s="1522" t="s">
        <v>1140</v>
      </c>
    </row>
    <row r="9" spans="1:151" s="793" customFormat="1" ht="14.25" customHeight="1">
      <c r="A9" s="828" t="s">
        <v>72</v>
      </c>
      <c r="B9" s="775" t="s">
        <v>522</v>
      </c>
      <c r="C9" s="776" t="s">
        <v>8</v>
      </c>
      <c r="D9" s="777" t="s">
        <v>25</v>
      </c>
      <c r="E9" s="775" t="s">
        <v>26</v>
      </c>
      <c r="F9" s="775">
        <v>32</v>
      </c>
      <c r="G9" s="778"/>
      <c r="H9" s="829" t="s">
        <v>322</v>
      </c>
      <c r="I9" s="830" t="s">
        <v>1093</v>
      </c>
      <c r="J9" s="780" t="s">
        <v>1083</v>
      </c>
      <c r="K9" s="780" t="s">
        <v>1098</v>
      </c>
      <c r="L9" s="780" t="s">
        <v>1117</v>
      </c>
      <c r="M9" s="780" t="s">
        <v>656</v>
      </c>
      <c r="N9" s="780" t="s">
        <v>426</v>
      </c>
      <c r="O9" s="780" t="s">
        <v>423</v>
      </c>
      <c r="P9" s="780" t="s">
        <v>488</v>
      </c>
      <c r="Q9" s="780" t="s">
        <v>489</v>
      </c>
      <c r="R9" s="780" t="s">
        <v>490</v>
      </c>
      <c r="S9" s="780"/>
      <c r="T9" s="780"/>
      <c r="U9" s="780"/>
      <c r="V9" s="780"/>
      <c r="W9" s="780"/>
      <c r="X9" s="831"/>
      <c r="Y9" s="832" t="s">
        <v>269</v>
      </c>
      <c r="Z9" s="780" t="s">
        <v>491</v>
      </c>
      <c r="AA9" s="780" t="s">
        <v>211</v>
      </c>
      <c r="AB9" s="780" t="s">
        <v>212</v>
      </c>
      <c r="AC9" s="780"/>
      <c r="AD9" s="780"/>
      <c r="AE9" s="780"/>
      <c r="AF9" s="831"/>
      <c r="AG9" s="832"/>
      <c r="AH9" s="780"/>
      <c r="AI9" s="780"/>
      <c r="AJ9" s="833"/>
      <c r="AK9" s="830"/>
      <c r="AL9" s="780"/>
      <c r="AM9" s="780"/>
      <c r="AN9" s="831"/>
      <c r="AO9" s="834"/>
      <c r="AP9" s="834"/>
      <c r="AQ9" s="834"/>
      <c r="AR9" s="835"/>
      <c r="AS9" s="836" t="s">
        <v>1084</v>
      </c>
      <c r="AT9" s="837"/>
      <c r="AU9" s="836" t="s">
        <v>1111</v>
      </c>
      <c r="AV9" s="837"/>
      <c r="AW9" s="836" t="s">
        <v>1118</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665</v>
      </c>
      <c r="BW9" s="534" t="s">
        <v>391</v>
      </c>
      <c r="BX9" s="534" t="s">
        <v>392</v>
      </c>
      <c r="BY9" s="534" t="s">
        <v>1099</v>
      </c>
      <c r="BZ9" s="534" t="s">
        <v>646</v>
      </c>
      <c r="CA9" s="534" t="s">
        <v>536</v>
      </c>
      <c r="CB9" s="534" t="s">
        <v>537</v>
      </c>
      <c r="CC9" s="534" t="s">
        <v>538</v>
      </c>
      <c r="CD9" s="534" t="s">
        <v>539</v>
      </c>
      <c r="CE9" s="534"/>
      <c r="CF9" s="534"/>
      <c r="CG9" s="534"/>
      <c r="CH9" s="534"/>
      <c r="CI9" s="534" t="s">
        <v>675</v>
      </c>
      <c r="CJ9" s="534" t="s">
        <v>540</v>
      </c>
      <c r="CK9" s="534" t="s">
        <v>659</v>
      </c>
      <c r="CL9" s="534" t="s">
        <v>661</v>
      </c>
      <c r="CM9" s="534" t="s">
        <v>663</v>
      </c>
      <c r="CN9" s="534">
        <v>1088</v>
      </c>
      <c r="CO9" s="534">
        <v>720</v>
      </c>
      <c r="CP9" s="534">
        <v>1088</v>
      </c>
      <c r="CQ9" s="841" t="s">
        <v>1100</v>
      </c>
      <c r="CR9" s="841" t="s">
        <v>647</v>
      </c>
      <c r="CS9" s="534"/>
      <c r="CT9" s="534"/>
      <c r="CU9" s="534"/>
      <c r="CV9" s="534" t="s">
        <v>670</v>
      </c>
      <c r="CW9" s="534" t="s">
        <v>535</v>
      </c>
      <c r="CX9" s="534" t="s">
        <v>457</v>
      </c>
      <c r="CY9" s="534" t="s">
        <v>578</v>
      </c>
      <c r="CZ9" s="534" t="s">
        <v>579</v>
      </c>
      <c r="DA9" s="534" t="s">
        <v>580</v>
      </c>
      <c r="DB9" s="836" t="s">
        <v>1085</v>
      </c>
      <c r="DC9" s="836" t="s">
        <v>1086</v>
      </c>
      <c r="DD9" s="534"/>
      <c r="DE9" s="534" t="s">
        <v>313</v>
      </c>
      <c r="DF9" s="534"/>
      <c r="DG9" s="534" t="s">
        <v>591</v>
      </c>
      <c r="DH9" s="534" t="s">
        <v>667</v>
      </c>
      <c r="DI9" s="534" t="s">
        <v>668</v>
      </c>
      <c r="DJ9" s="534" t="s">
        <v>669</v>
      </c>
      <c r="DK9" s="534"/>
      <c r="DL9" s="534"/>
      <c r="DM9" s="534"/>
      <c r="DN9" s="534"/>
      <c r="DO9" s="534"/>
      <c r="DP9" s="534"/>
      <c r="DQ9" s="534"/>
      <c r="DR9" s="534"/>
      <c r="DS9" s="534"/>
      <c r="DT9" s="534"/>
      <c r="DU9" s="534" t="s">
        <v>884</v>
      </c>
      <c r="DV9" s="534" t="s">
        <v>879</v>
      </c>
      <c r="DW9" s="534" t="s">
        <v>880</v>
      </c>
      <c r="DX9" s="534" t="s">
        <v>881</v>
      </c>
      <c r="DY9" s="534" t="s">
        <v>882</v>
      </c>
      <c r="DZ9" s="534"/>
      <c r="EA9" s="534"/>
      <c r="EB9" s="534"/>
      <c r="EC9" s="534"/>
      <c r="ED9" s="534"/>
      <c r="EE9" s="534"/>
      <c r="EF9" s="534"/>
      <c r="EG9" s="534"/>
      <c r="EH9" s="534"/>
      <c r="EI9" s="534"/>
      <c r="EJ9" s="534"/>
      <c r="EK9" s="534"/>
      <c r="EL9" s="841" t="s">
        <v>1072</v>
      </c>
      <c r="EM9" s="841" t="s">
        <v>1073</v>
      </c>
      <c r="EN9" s="534" t="s">
        <v>1071</v>
      </c>
      <c r="EO9" s="1323" t="s">
        <v>1076</v>
      </c>
      <c r="EP9" s="1323" t="s">
        <v>1101</v>
      </c>
      <c r="EQ9" s="1323" t="s">
        <v>1119</v>
      </c>
      <c r="ER9" s="1341">
        <v>1200</v>
      </c>
      <c r="ES9" s="1336"/>
      <c r="ET9" s="1523"/>
      <c r="EU9" s="1523"/>
    </row>
    <row r="10" spans="1:151" ht="14.25" customHeight="1">
      <c r="A10" s="147" t="s">
        <v>191</v>
      </c>
      <c r="B10" s="21" t="s">
        <v>522</v>
      </c>
      <c r="C10" s="22" t="s">
        <v>8</v>
      </c>
      <c r="D10" s="23" t="s">
        <v>114</v>
      </c>
      <c r="E10" s="21" t="s">
        <v>114</v>
      </c>
      <c r="F10" s="21" t="s">
        <v>186</v>
      </c>
      <c r="G10" s="6"/>
      <c r="H10" s="146"/>
      <c r="I10" s="193" t="s">
        <v>692</v>
      </c>
      <c r="J10" s="194" t="s">
        <v>690</v>
      </c>
      <c r="K10" s="194" t="s">
        <v>691</v>
      </c>
      <c r="L10" s="194" t="s">
        <v>696</v>
      </c>
      <c r="M10" s="60" t="s">
        <v>682</v>
      </c>
      <c r="N10" s="60" t="s">
        <v>187</v>
      </c>
      <c r="O10" s="60" t="s">
        <v>292</v>
      </c>
      <c r="P10" s="60" t="s">
        <v>188</v>
      </c>
      <c r="Q10" s="60" t="s">
        <v>189</v>
      </c>
      <c r="R10" s="60" t="s">
        <v>190</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1028</v>
      </c>
      <c r="AT10" s="66"/>
      <c r="AU10" s="161" t="s">
        <v>1029</v>
      </c>
      <c r="AV10" s="66"/>
      <c r="AW10" s="161" t="s">
        <v>1030</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398</v>
      </c>
      <c r="BW10" s="167" t="s">
        <v>462</v>
      </c>
      <c r="BX10" s="167" t="s">
        <v>463</v>
      </c>
      <c r="BY10" s="167" t="s">
        <v>1031</v>
      </c>
      <c r="BZ10" s="167"/>
      <c r="CA10" s="167"/>
      <c r="CB10" s="167"/>
      <c r="CC10" s="167"/>
      <c r="CD10" s="167"/>
      <c r="CE10" s="167"/>
      <c r="CF10" s="167"/>
      <c r="CG10" s="167"/>
      <c r="CH10" s="167"/>
      <c r="CI10" s="167" t="s">
        <v>677</v>
      </c>
      <c r="CJ10" s="167" t="s">
        <v>388</v>
      </c>
      <c r="CK10" s="167" t="s">
        <v>608</v>
      </c>
      <c r="CL10" s="167" t="s">
        <v>609</v>
      </c>
      <c r="CM10" s="167" t="s">
        <v>610</v>
      </c>
      <c r="CN10" s="167">
        <v>1175</v>
      </c>
      <c r="CO10" s="167">
        <v>0</v>
      </c>
      <c r="CP10" s="315" t="s">
        <v>542</v>
      </c>
      <c r="CQ10" s="167" t="s">
        <v>1032</v>
      </c>
      <c r="CR10" s="167"/>
      <c r="CS10" s="167"/>
      <c r="CT10" s="169"/>
      <c r="CU10" s="169"/>
      <c r="CV10" s="169" t="s">
        <v>409</v>
      </c>
      <c r="CW10" s="169" t="s">
        <v>449</v>
      </c>
      <c r="CX10" s="169" t="s">
        <v>452</v>
      </c>
      <c r="CY10" s="169" t="s">
        <v>678</v>
      </c>
      <c r="CZ10" s="169" t="s">
        <v>679</v>
      </c>
      <c r="DA10" s="169" t="s">
        <v>680</v>
      </c>
      <c r="DB10" s="355" t="s">
        <v>693</v>
      </c>
      <c r="DC10" s="354"/>
      <c r="DD10" s="169"/>
      <c r="DE10" s="169" t="s">
        <v>314</v>
      </c>
      <c r="DF10" s="169"/>
      <c r="DG10" s="169" t="s">
        <v>681</v>
      </c>
      <c r="DH10" s="167" t="s">
        <v>556</v>
      </c>
      <c r="DI10" s="167" t="s">
        <v>554</v>
      </c>
      <c r="DJ10" s="167" t="s">
        <v>555</v>
      </c>
      <c r="DK10" s="167"/>
      <c r="DL10" s="167"/>
      <c r="DM10" s="315"/>
      <c r="DN10" s="315"/>
      <c r="DO10" s="315"/>
      <c r="DP10" s="315"/>
      <c r="DQ10" s="315"/>
      <c r="DR10" s="315"/>
      <c r="DS10" s="315"/>
      <c r="DT10" s="315"/>
      <c r="DU10" s="168" t="s">
        <v>806</v>
      </c>
      <c r="DV10" s="315" t="s">
        <v>933</v>
      </c>
      <c r="DW10" s="315" t="s">
        <v>930</v>
      </c>
      <c r="DX10" s="315" t="s">
        <v>931</v>
      </c>
      <c r="DY10" s="315" t="s">
        <v>932</v>
      </c>
      <c r="DZ10" s="315"/>
      <c r="EA10" s="315"/>
      <c r="EB10" s="315"/>
      <c r="EC10" s="315"/>
      <c r="ED10" s="315"/>
      <c r="EE10" s="315"/>
      <c r="EF10" s="315"/>
      <c r="EG10" s="315"/>
      <c r="EH10" s="315"/>
      <c r="EI10" s="315"/>
      <c r="EJ10" s="315"/>
      <c r="EK10" s="315"/>
      <c r="EL10" s="315"/>
      <c r="EM10" s="315"/>
      <c r="EN10" s="315"/>
      <c r="EO10" s="355" t="s">
        <v>1043</v>
      </c>
      <c r="EP10" s="355" t="s">
        <v>1044</v>
      </c>
      <c r="EQ10" s="355" t="s">
        <v>1045</v>
      </c>
      <c r="ER10" s="1342">
        <v>1600</v>
      </c>
      <c r="ES10" s="381"/>
      <c r="ET10" s="1523"/>
      <c r="EU10" s="1523"/>
    </row>
    <row r="11" spans="1:151" s="793" customFormat="1" ht="14.25" customHeight="1" thickBot="1">
      <c r="A11" s="828" t="s">
        <v>523</v>
      </c>
      <c r="B11" s="775" t="s">
        <v>522</v>
      </c>
      <c r="C11" s="776" t="s">
        <v>8</v>
      </c>
      <c r="D11" s="777" t="s">
        <v>25</v>
      </c>
      <c r="E11" s="775" t="s">
        <v>78</v>
      </c>
      <c r="F11" s="775">
        <v>32</v>
      </c>
      <c r="G11" s="778"/>
      <c r="H11" s="795" t="s">
        <v>52</v>
      </c>
      <c r="I11" s="351" t="s">
        <v>1094</v>
      </c>
      <c r="J11" s="350" t="s">
        <v>1087</v>
      </c>
      <c r="K11" s="350" t="s">
        <v>1112</v>
      </c>
      <c r="L11" s="350" t="s">
        <v>1120</v>
      </c>
      <c r="M11" s="350" t="s">
        <v>655</v>
      </c>
      <c r="N11" s="350" t="s">
        <v>56</v>
      </c>
      <c r="O11" s="780" t="s">
        <v>289</v>
      </c>
      <c r="P11" s="350" t="s">
        <v>57</v>
      </c>
      <c r="Q11" s="350" t="s">
        <v>58</v>
      </c>
      <c r="R11" s="350" t="s">
        <v>125</v>
      </c>
      <c r="S11" s="350"/>
      <c r="T11" s="350"/>
      <c r="U11" s="350"/>
      <c r="V11" s="350"/>
      <c r="W11" s="350"/>
      <c r="X11" s="781"/>
      <c r="Y11" s="832" t="s">
        <v>269</v>
      </c>
      <c r="Z11" s="780" t="s">
        <v>491</v>
      </c>
      <c r="AA11" s="780" t="s">
        <v>211</v>
      </c>
      <c r="AB11" s="780" t="s">
        <v>212</v>
      </c>
      <c r="AC11" s="350"/>
      <c r="AD11" s="350"/>
      <c r="AE11" s="350"/>
      <c r="AF11" s="781"/>
      <c r="AG11" s="782"/>
      <c r="AH11" s="350"/>
      <c r="AI11" s="350"/>
      <c r="AJ11" s="783"/>
      <c r="AK11" s="351"/>
      <c r="AL11" s="350"/>
      <c r="AM11" s="350"/>
      <c r="AN11" s="781"/>
      <c r="AO11" s="784"/>
      <c r="AP11" s="784"/>
      <c r="AQ11" s="784"/>
      <c r="AR11" s="834"/>
      <c r="AS11" s="782" t="s">
        <v>1088</v>
      </c>
      <c r="AT11" s="783"/>
      <c r="AU11" s="782" t="s">
        <v>1113</v>
      </c>
      <c r="AV11" s="783"/>
      <c r="AW11" s="782" t="s">
        <v>1121</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664</v>
      </c>
      <c r="BW11" s="534" t="s">
        <v>333</v>
      </c>
      <c r="BX11" s="534" t="s">
        <v>334</v>
      </c>
      <c r="BY11" s="796" t="s">
        <v>1114</v>
      </c>
      <c r="BZ11" s="534" t="s">
        <v>998</v>
      </c>
      <c r="CA11" s="534" t="s">
        <v>369</v>
      </c>
      <c r="CB11" s="534" t="s">
        <v>364</v>
      </c>
      <c r="CC11" s="534" t="s">
        <v>365</v>
      </c>
      <c r="CD11" s="534" t="s">
        <v>366</v>
      </c>
      <c r="CE11" s="796"/>
      <c r="CF11" s="796"/>
      <c r="CG11" s="796"/>
      <c r="CH11" s="796"/>
      <c r="CI11" s="796" t="s">
        <v>648</v>
      </c>
      <c r="CJ11" s="796" t="s">
        <v>382</v>
      </c>
      <c r="CK11" s="534" t="s">
        <v>658</v>
      </c>
      <c r="CL11" s="534" t="s">
        <v>660</v>
      </c>
      <c r="CM11" s="534" t="s">
        <v>662</v>
      </c>
      <c r="CN11" s="534">
        <v>1088</v>
      </c>
      <c r="CO11" s="796">
        <v>1000</v>
      </c>
      <c r="CP11" s="534">
        <v>1088</v>
      </c>
      <c r="CQ11" s="534" t="s">
        <v>1102</v>
      </c>
      <c r="CR11" s="534" t="s">
        <v>999</v>
      </c>
      <c r="CS11" s="796"/>
      <c r="CT11" s="534"/>
      <c r="CU11" s="534"/>
      <c r="CV11" s="534" t="s">
        <v>670</v>
      </c>
      <c r="CW11" s="534" t="s">
        <v>442</v>
      </c>
      <c r="CX11" s="534" t="s">
        <v>457</v>
      </c>
      <c r="CY11" s="534" t="s">
        <v>578</v>
      </c>
      <c r="CZ11" s="534" t="s">
        <v>579</v>
      </c>
      <c r="DA11" s="534" t="s">
        <v>580</v>
      </c>
      <c r="DB11" s="363" t="s">
        <v>1089</v>
      </c>
      <c r="DC11" s="363" t="s">
        <v>1090</v>
      </c>
      <c r="DD11" s="534"/>
      <c r="DE11" s="534" t="s">
        <v>315</v>
      </c>
      <c r="DF11" s="534"/>
      <c r="DG11" s="534" t="s">
        <v>591</v>
      </c>
      <c r="DH11" s="534" t="s">
        <v>667</v>
      </c>
      <c r="DI11" s="534" t="s">
        <v>668</v>
      </c>
      <c r="DJ11" s="534" t="s">
        <v>669</v>
      </c>
      <c r="DK11" s="534"/>
      <c r="DL11" s="534"/>
      <c r="DM11" s="841"/>
      <c r="DN11" s="841"/>
      <c r="DO11" s="841"/>
      <c r="DP11" s="841"/>
      <c r="DQ11" s="841"/>
      <c r="DR11" s="841"/>
      <c r="DS11" s="841"/>
      <c r="DT11" s="841"/>
      <c r="DU11" s="841" t="s">
        <v>884</v>
      </c>
      <c r="DV11" s="841" t="s">
        <v>879</v>
      </c>
      <c r="DW11" s="841" t="s">
        <v>880</v>
      </c>
      <c r="DX11" s="841" t="s">
        <v>881</v>
      </c>
      <c r="DY11" s="841" t="s">
        <v>882</v>
      </c>
      <c r="DZ11" s="841"/>
      <c r="EA11" s="841"/>
      <c r="EB11" s="841"/>
      <c r="EC11" s="841"/>
      <c r="ED11" s="841"/>
      <c r="EE11" s="841"/>
      <c r="EF11" s="841"/>
      <c r="EG11" s="841"/>
      <c r="EH11" s="841"/>
      <c r="EI11" s="841"/>
      <c r="EJ11" s="841"/>
      <c r="EK11" s="841"/>
      <c r="EL11" s="841"/>
      <c r="EM11" s="841"/>
      <c r="EN11" s="841"/>
      <c r="EO11" s="1367" t="s">
        <v>1127</v>
      </c>
      <c r="EP11" s="1367" t="s">
        <v>1103</v>
      </c>
      <c r="EQ11" s="1367" t="s">
        <v>1122</v>
      </c>
      <c r="ER11" s="1343">
        <v>1323</v>
      </c>
      <c r="ES11" s="1337"/>
      <c r="ET11" s="1523"/>
      <c r="EU11" s="1523"/>
    </row>
    <row r="12" spans="1:151" s="793" customFormat="1" ht="14.25" customHeight="1">
      <c r="A12" s="828" t="s">
        <v>524</v>
      </c>
      <c r="B12" s="775" t="s">
        <v>522</v>
      </c>
      <c r="C12" s="776" t="s">
        <v>8</v>
      </c>
      <c r="D12" s="777" t="s">
        <v>25</v>
      </c>
      <c r="E12" s="775" t="s">
        <v>25</v>
      </c>
      <c r="F12" s="775">
        <v>31</v>
      </c>
      <c r="G12" s="778"/>
      <c r="H12" s="844"/>
      <c r="I12" s="351" t="s">
        <v>1095</v>
      </c>
      <c r="J12" s="350" t="s">
        <v>1128</v>
      </c>
      <c r="K12" s="350" t="s">
        <v>1104</v>
      </c>
      <c r="L12" s="350" t="s">
        <v>1123</v>
      </c>
      <c r="M12" s="350" t="s">
        <v>683</v>
      </c>
      <c r="N12" s="350" t="s">
        <v>56</v>
      </c>
      <c r="O12" s="780" t="s">
        <v>289</v>
      </c>
      <c r="P12" s="350" t="s">
        <v>499</v>
      </c>
      <c r="Q12" s="350" t="s">
        <v>500</v>
      </c>
      <c r="R12" s="350" t="s">
        <v>501</v>
      </c>
      <c r="S12" s="350"/>
      <c r="T12" s="350"/>
      <c r="U12" s="350"/>
      <c r="V12" s="350"/>
      <c r="W12" s="350"/>
      <c r="X12" s="781"/>
      <c r="Y12" s="832" t="s">
        <v>269</v>
      </c>
      <c r="Z12" s="780" t="s">
        <v>491</v>
      </c>
      <c r="AA12" s="780" t="s">
        <v>211</v>
      </c>
      <c r="AB12" s="780" t="s">
        <v>212</v>
      </c>
      <c r="AC12" s="350"/>
      <c r="AD12" s="350"/>
      <c r="AE12" s="350"/>
      <c r="AF12" s="781"/>
      <c r="AG12" s="782"/>
      <c r="AH12" s="350"/>
      <c r="AI12" s="350"/>
      <c r="AJ12" s="783"/>
      <c r="AK12" s="351"/>
      <c r="AL12" s="350"/>
      <c r="AM12" s="350"/>
      <c r="AN12" s="781"/>
      <c r="AO12" s="784"/>
      <c r="AP12" s="784"/>
      <c r="AQ12" s="784"/>
      <c r="AR12" s="834"/>
      <c r="AS12" s="782" t="s">
        <v>1129</v>
      </c>
      <c r="AT12" s="783"/>
      <c r="AU12" s="782" t="s">
        <v>1105</v>
      </c>
      <c r="AV12" s="783"/>
      <c r="AW12" s="782" t="s">
        <v>1124</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666</v>
      </c>
      <c r="BW12" s="534" t="s">
        <v>502</v>
      </c>
      <c r="BX12" s="534" t="s">
        <v>503</v>
      </c>
      <c r="BY12" s="796" t="s">
        <v>1106</v>
      </c>
      <c r="BZ12" s="534"/>
      <c r="CA12" s="534" t="s">
        <v>369</v>
      </c>
      <c r="CB12" s="534" t="s">
        <v>364</v>
      </c>
      <c r="CC12" s="534" t="s">
        <v>365</v>
      </c>
      <c r="CD12" s="534" t="s">
        <v>366</v>
      </c>
      <c r="CE12" s="796"/>
      <c r="CF12" s="796"/>
      <c r="CG12" s="796"/>
      <c r="CH12" s="796"/>
      <c r="CI12" s="796" t="s">
        <v>648</v>
      </c>
      <c r="CJ12" s="796" t="s">
        <v>382</v>
      </c>
      <c r="CK12" s="534" t="s">
        <v>659</v>
      </c>
      <c r="CL12" s="534" t="s">
        <v>661</v>
      </c>
      <c r="CM12" s="534" t="s">
        <v>663</v>
      </c>
      <c r="CN12" s="841" t="s">
        <v>438</v>
      </c>
      <c r="CO12" s="796">
        <v>2880</v>
      </c>
      <c r="CP12" s="841" t="s">
        <v>395</v>
      </c>
      <c r="CQ12" s="841" t="s">
        <v>1107</v>
      </c>
      <c r="CR12" s="841"/>
      <c r="CS12" s="796"/>
      <c r="CT12" s="534"/>
      <c r="CU12" s="534"/>
      <c r="CV12" s="534" t="s">
        <v>670</v>
      </c>
      <c r="CW12" s="534" t="s">
        <v>442</v>
      </c>
      <c r="CX12" s="534" t="s">
        <v>457</v>
      </c>
      <c r="CY12" s="534" t="s">
        <v>578</v>
      </c>
      <c r="CZ12" s="534" t="s">
        <v>579</v>
      </c>
      <c r="DA12" s="534" t="s">
        <v>580</v>
      </c>
      <c r="DB12" s="836" t="s">
        <v>1130</v>
      </c>
      <c r="DC12" s="836" t="s">
        <v>1131</v>
      </c>
      <c r="DD12" s="534"/>
      <c r="DE12" s="534" t="s">
        <v>316</v>
      </c>
      <c r="DF12" s="534"/>
      <c r="DG12" s="534" t="s">
        <v>591</v>
      </c>
      <c r="DH12" s="534" t="s">
        <v>667</v>
      </c>
      <c r="DI12" s="534" t="s">
        <v>668</v>
      </c>
      <c r="DJ12" s="534" t="s">
        <v>669</v>
      </c>
      <c r="DK12" s="534"/>
      <c r="DL12" s="534"/>
      <c r="DM12" s="841"/>
      <c r="DN12" s="841"/>
      <c r="DO12" s="841"/>
      <c r="DP12" s="841"/>
      <c r="DQ12" s="841"/>
      <c r="DR12" s="841"/>
      <c r="DS12" s="841"/>
      <c r="DT12" s="841"/>
      <c r="DU12" s="841" t="s">
        <v>884</v>
      </c>
      <c r="DV12" s="841" t="s">
        <v>879</v>
      </c>
      <c r="DW12" s="841" t="s">
        <v>880</v>
      </c>
      <c r="DX12" s="841" t="s">
        <v>881</v>
      </c>
      <c r="DY12" s="841" t="s">
        <v>882</v>
      </c>
      <c r="DZ12" s="841"/>
      <c r="EA12" s="841"/>
      <c r="EB12" s="841"/>
      <c r="EC12" s="841"/>
      <c r="ED12" s="841"/>
      <c r="EE12" s="841"/>
      <c r="EF12" s="841"/>
      <c r="EG12" s="841"/>
      <c r="EH12" s="841"/>
      <c r="EI12" s="841"/>
      <c r="EJ12" s="841"/>
      <c r="EK12" s="841"/>
      <c r="EL12" s="841" t="s">
        <v>1072</v>
      </c>
      <c r="EM12" s="841" t="s">
        <v>1073</v>
      </c>
      <c r="EN12" s="534" t="s">
        <v>1071</v>
      </c>
      <c r="EO12" s="1323" t="s">
        <v>1091</v>
      </c>
      <c r="EP12" s="1323" t="s">
        <v>1108</v>
      </c>
      <c r="EQ12" s="1323" t="s">
        <v>1125</v>
      </c>
      <c r="ER12" s="1341">
        <v>680</v>
      </c>
      <c r="ES12" s="1338"/>
      <c r="ET12" s="1523"/>
      <c r="EU12" s="1523"/>
    </row>
    <row r="13" spans="1:151" ht="14.25" customHeight="1">
      <c r="A13" s="20" t="s">
        <v>145</v>
      </c>
      <c r="B13" s="21" t="s">
        <v>522</v>
      </c>
      <c r="C13" s="22" t="s">
        <v>8</v>
      </c>
      <c r="D13" s="23" t="s">
        <v>28</v>
      </c>
      <c r="E13" s="21" t="s">
        <v>28</v>
      </c>
      <c r="F13" s="21" t="s">
        <v>104</v>
      </c>
      <c r="G13" s="6"/>
      <c r="H13" s="29"/>
      <c r="I13" s="25" t="s">
        <v>141</v>
      </c>
      <c r="J13" s="26" t="s">
        <v>142</v>
      </c>
      <c r="K13" s="26" t="s">
        <v>143</v>
      </c>
      <c r="L13" s="26" t="s">
        <v>144</v>
      </c>
      <c r="M13" s="26" t="s">
        <v>140</v>
      </c>
      <c r="N13" s="26" t="s">
        <v>673</v>
      </c>
      <c r="O13" s="26" t="s">
        <v>297</v>
      </c>
      <c r="P13" s="26" t="s">
        <v>199</v>
      </c>
      <c r="Q13" s="26" t="s">
        <v>201</v>
      </c>
      <c r="R13" s="26" t="s">
        <v>200</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400</v>
      </c>
      <c r="BW13" s="170"/>
      <c r="BX13" s="170"/>
      <c r="BY13" s="170" t="s">
        <v>434</v>
      </c>
      <c r="BZ13" s="170"/>
      <c r="CA13" s="170"/>
      <c r="CB13" s="170"/>
      <c r="CC13" s="170"/>
      <c r="CD13" s="170"/>
      <c r="CE13" s="170"/>
      <c r="CF13" s="170"/>
      <c r="CG13" s="170"/>
      <c r="CH13" s="170"/>
      <c r="CI13" s="170" t="s">
        <v>384</v>
      </c>
      <c r="CJ13" s="170" t="s">
        <v>385</v>
      </c>
      <c r="CK13" s="170" t="s">
        <v>611</v>
      </c>
      <c r="CL13" s="170" t="s">
        <v>612</v>
      </c>
      <c r="CM13" s="170" t="s">
        <v>613</v>
      </c>
      <c r="CN13" s="170">
        <v>1262</v>
      </c>
      <c r="CO13" s="170"/>
      <c r="CP13" s="170">
        <v>1262</v>
      </c>
      <c r="CQ13" s="170" t="s">
        <v>435</v>
      </c>
      <c r="CR13" s="170"/>
      <c r="CS13" s="170"/>
      <c r="CT13" s="169"/>
      <c r="CU13" s="169"/>
      <c r="CV13" s="169" t="s">
        <v>411</v>
      </c>
      <c r="CW13" s="169"/>
      <c r="CX13" s="169"/>
      <c r="CY13" s="169"/>
      <c r="CZ13" s="169"/>
      <c r="DA13" s="169"/>
      <c r="DB13" s="160" t="s">
        <v>142</v>
      </c>
      <c r="DC13" s="356"/>
      <c r="DD13" s="169"/>
      <c r="DE13" s="169" t="s">
        <v>317</v>
      </c>
      <c r="DF13" s="169"/>
      <c r="DG13" s="534"/>
      <c r="DH13" s="170" t="s">
        <v>560</v>
      </c>
      <c r="DI13" s="170" t="s">
        <v>561</v>
      </c>
      <c r="DJ13" s="170" t="s">
        <v>562</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142</v>
      </c>
      <c r="EP13" s="1321" t="s">
        <v>143</v>
      </c>
      <c r="EQ13" s="1321" t="s">
        <v>144</v>
      </c>
      <c r="ER13" s="1343">
        <v>875</v>
      </c>
      <c r="ES13" s="1339"/>
      <c r="ET13" s="1523"/>
      <c r="EU13" s="1523"/>
    </row>
    <row r="14" spans="1:151" ht="14.25" customHeight="1" thickBot="1">
      <c r="A14" s="77" t="s">
        <v>5</v>
      </c>
      <c r="B14" s="78" t="s">
        <v>522</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147</v>
      </c>
      <c r="B15" s="85" t="s">
        <v>522</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525</v>
      </c>
      <c r="B16" s="775" t="s">
        <v>522</v>
      </c>
      <c r="C16" s="776" t="s">
        <v>8</v>
      </c>
      <c r="D16" s="777" t="s">
        <v>25</v>
      </c>
      <c r="E16" s="775" t="s">
        <v>27</v>
      </c>
      <c r="F16" s="775">
        <v>33</v>
      </c>
      <c r="G16" s="778"/>
      <c r="H16" s="779"/>
      <c r="I16" s="351" t="s">
        <v>686</v>
      </c>
      <c r="J16" s="350" t="s">
        <v>1051</v>
      </c>
      <c r="K16" s="350" t="s">
        <v>1059</v>
      </c>
      <c r="L16" s="350" t="s">
        <v>1064</v>
      </c>
      <c r="M16" s="350" t="s">
        <v>685</v>
      </c>
      <c r="N16" s="350" t="s">
        <v>424</v>
      </c>
      <c r="O16" s="780" t="s">
        <v>425</v>
      </c>
      <c r="P16" s="350" t="s">
        <v>638</v>
      </c>
      <c r="Q16" s="350" t="s">
        <v>639</v>
      </c>
      <c r="R16" s="350" t="s">
        <v>640</v>
      </c>
      <c r="S16" s="350"/>
      <c r="T16" s="350"/>
      <c r="U16" s="350"/>
      <c r="V16" s="350"/>
      <c r="W16" s="350"/>
      <c r="X16" s="781"/>
      <c r="Y16" s="782"/>
      <c r="Z16" s="350"/>
      <c r="AA16" s="350"/>
      <c r="AB16" s="350"/>
      <c r="AC16" s="350" t="s">
        <v>66</v>
      </c>
      <c r="AD16" s="350" t="s">
        <v>75</v>
      </c>
      <c r="AE16" s="350" t="s">
        <v>76</v>
      </c>
      <c r="AF16" s="781" t="s">
        <v>77</v>
      </c>
      <c r="AG16" s="782"/>
      <c r="AH16" s="350"/>
      <c r="AI16" s="350"/>
      <c r="AJ16" s="783"/>
      <c r="AK16" s="351"/>
      <c r="AL16" s="350"/>
      <c r="AM16" s="350"/>
      <c r="AN16" s="781"/>
      <c r="AO16" s="784"/>
      <c r="AP16" s="784"/>
      <c r="AQ16" s="784"/>
      <c r="AR16" s="784"/>
      <c r="AS16" s="782" t="s">
        <v>997</v>
      </c>
      <c r="AT16" s="783" t="s">
        <v>944</v>
      </c>
      <c r="AU16" s="782" t="s">
        <v>697</v>
      </c>
      <c r="AV16" s="783" t="s">
        <v>945</v>
      </c>
      <c r="AW16" s="782" t="s">
        <v>698</v>
      </c>
      <c r="AX16" s="783" t="s">
        <v>946</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498</v>
      </c>
      <c r="BW16" s="791" t="s">
        <v>393</v>
      </c>
      <c r="BX16" s="791" t="s">
        <v>394</v>
      </c>
      <c r="BY16" s="792" t="s">
        <v>1033</v>
      </c>
      <c r="BZ16" s="792" t="s">
        <v>1115</v>
      </c>
      <c r="CA16" s="791"/>
      <c r="CB16" s="791"/>
      <c r="CC16" s="791"/>
      <c r="CD16" s="791"/>
      <c r="CE16" s="791"/>
      <c r="CF16" s="791"/>
      <c r="CG16" s="791"/>
      <c r="CH16" s="791"/>
      <c r="CI16" s="791" t="s">
        <v>654</v>
      </c>
      <c r="CJ16" s="791" t="s">
        <v>517</v>
      </c>
      <c r="CK16" s="791" t="s">
        <v>614</v>
      </c>
      <c r="CL16" s="791" t="s">
        <v>615</v>
      </c>
      <c r="CM16" s="791" t="s">
        <v>616</v>
      </c>
      <c r="CN16" s="791">
        <v>1262</v>
      </c>
      <c r="CO16" s="791">
        <v>6600</v>
      </c>
      <c r="CP16" s="791">
        <v>1262</v>
      </c>
      <c r="CQ16" s="792" t="s">
        <v>687</v>
      </c>
      <c r="CR16" s="792" t="s">
        <v>1109</v>
      </c>
      <c r="CS16" s="791" t="s">
        <v>507</v>
      </c>
      <c r="CT16" s="534"/>
      <c r="CU16" s="534"/>
      <c r="CV16" s="534" t="s">
        <v>492</v>
      </c>
      <c r="CW16" s="534" t="s">
        <v>443</v>
      </c>
      <c r="CX16" s="534" t="s">
        <v>223</v>
      </c>
      <c r="CY16" s="534"/>
      <c r="CZ16" s="534"/>
      <c r="DA16" s="534"/>
      <c r="DB16" s="363" t="s">
        <v>1052</v>
      </c>
      <c r="DC16" s="363" t="s">
        <v>1053</v>
      </c>
      <c r="DD16" s="534"/>
      <c r="DE16" s="534" t="s">
        <v>695</v>
      </c>
      <c r="DF16" s="534" t="s">
        <v>534</v>
      </c>
      <c r="DG16" s="534"/>
      <c r="DH16" s="791" t="s">
        <v>551</v>
      </c>
      <c r="DI16" s="791" t="s">
        <v>552</v>
      </c>
      <c r="DJ16" s="791" t="s">
        <v>553</v>
      </c>
      <c r="DK16" s="791"/>
      <c r="DL16" s="791"/>
      <c r="DM16" s="791"/>
      <c r="DN16" s="791"/>
      <c r="DO16" s="791"/>
      <c r="DP16" s="791"/>
      <c r="DQ16" s="791"/>
      <c r="DR16" s="791"/>
      <c r="DS16" s="791"/>
      <c r="DT16" s="791"/>
      <c r="DU16" s="791" t="s">
        <v>805</v>
      </c>
      <c r="DV16" s="791"/>
      <c r="DW16" s="791"/>
      <c r="DX16" s="791"/>
      <c r="DY16" s="791"/>
      <c r="DZ16" s="791"/>
      <c r="EA16" s="791"/>
      <c r="EB16" s="791" t="s">
        <v>994</v>
      </c>
      <c r="EC16" s="791" t="s">
        <v>818</v>
      </c>
      <c r="ED16" s="791"/>
      <c r="EE16" s="791">
        <v>6000</v>
      </c>
      <c r="EF16" s="791">
        <v>650</v>
      </c>
      <c r="EG16" s="791"/>
      <c r="EH16" s="791"/>
      <c r="EI16" s="791" t="s">
        <v>819</v>
      </c>
      <c r="EJ16" s="791"/>
      <c r="EK16" s="791"/>
      <c r="EL16" s="791"/>
      <c r="EM16" s="791"/>
      <c r="EN16" s="791"/>
      <c r="EO16" s="1322" t="s">
        <v>1092</v>
      </c>
      <c r="EP16" s="1322" t="s">
        <v>1110</v>
      </c>
      <c r="EQ16" s="1322" t="s">
        <v>1126</v>
      </c>
      <c r="ER16" s="1345" t="s">
        <v>1042</v>
      </c>
      <c r="ES16" s="1337"/>
      <c r="ET16" s="1523"/>
      <c r="EU16" s="1523"/>
    </row>
    <row r="17" spans="1:151" ht="14.25" customHeight="1">
      <c r="A17" s="7" t="s">
        <v>524</v>
      </c>
      <c r="B17" s="21" t="s">
        <v>522</v>
      </c>
      <c r="C17" s="22" t="s">
        <v>8</v>
      </c>
      <c r="D17" s="23" t="s">
        <v>25</v>
      </c>
      <c r="E17" s="21" t="s">
        <v>25</v>
      </c>
      <c r="F17" s="21">
        <v>31</v>
      </c>
      <c r="G17" s="6"/>
      <c r="H17" s="24"/>
      <c r="I17" s="25" t="s">
        <v>686</v>
      </c>
      <c r="J17" s="26" t="s">
        <v>1054</v>
      </c>
      <c r="K17" s="26" t="s">
        <v>1060</v>
      </c>
      <c r="L17" s="26" t="s">
        <v>1065</v>
      </c>
      <c r="M17" s="26" t="s">
        <v>685</v>
      </c>
      <c r="N17" s="26" t="s">
        <v>203</v>
      </c>
      <c r="O17" s="60" t="s">
        <v>290</v>
      </c>
      <c r="P17" s="26" t="s">
        <v>638</v>
      </c>
      <c r="Q17" s="26" t="s">
        <v>639</v>
      </c>
      <c r="R17" s="26" t="s">
        <v>640</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1055</v>
      </c>
      <c r="AT17" s="27"/>
      <c r="AU17" s="52" t="s">
        <v>1061</v>
      </c>
      <c r="AV17" s="27"/>
      <c r="AW17" s="52" t="s">
        <v>1066</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498</v>
      </c>
      <c r="BW17" s="168" t="s">
        <v>496</v>
      </c>
      <c r="BX17" s="168" t="s">
        <v>497</v>
      </c>
      <c r="BY17" s="186" t="s">
        <v>702</v>
      </c>
      <c r="BZ17" s="170"/>
      <c r="CA17" s="170"/>
      <c r="CB17" s="170"/>
      <c r="CC17" s="170"/>
      <c r="CD17" s="170"/>
      <c r="CE17" s="170"/>
      <c r="CF17" s="170"/>
      <c r="CG17" s="170"/>
      <c r="CH17" s="170"/>
      <c r="CI17" s="170" t="s">
        <v>654</v>
      </c>
      <c r="CJ17" s="170" t="s">
        <v>517</v>
      </c>
      <c r="CK17" s="168" t="s">
        <v>614</v>
      </c>
      <c r="CL17" s="168" t="s">
        <v>615</v>
      </c>
      <c r="CM17" s="168" t="s">
        <v>616</v>
      </c>
      <c r="CN17" s="315" t="s">
        <v>438</v>
      </c>
      <c r="CO17" s="170">
        <v>2880</v>
      </c>
      <c r="CP17" s="228" t="s">
        <v>396</v>
      </c>
      <c r="CQ17" s="228" t="s">
        <v>687</v>
      </c>
      <c r="CR17" s="228"/>
      <c r="CS17" s="168" t="s">
        <v>507</v>
      </c>
      <c r="CT17" s="169"/>
      <c r="CU17" s="169"/>
      <c r="CV17" s="169" t="s">
        <v>492</v>
      </c>
      <c r="CW17" s="169" t="s">
        <v>443</v>
      </c>
      <c r="CX17" s="169" t="s">
        <v>223</v>
      </c>
      <c r="CY17" s="169"/>
      <c r="CZ17" s="169"/>
      <c r="DA17" s="169"/>
      <c r="DB17" s="160" t="s">
        <v>1056</v>
      </c>
      <c r="DC17" s="160" t="s">
        <v>1057</v>
      </c>
      <c r="DD17" s="169"/>
      <c r="DE17" s="169" t="s">
        <v>695</v>
      </c>
      <c r="DF17" s="169" t="s">
        <v>534</v>
      </c>
      <c r="DG17" s="534"/>
      <c r="DH17" s="168" t="s">
        <v>551</v>
      </c>
      <c r="DI17" s="168" t="s">
        <v>552</v>
      </c>
      <c r="DJ17" s="168" t="s">
        <v>553</v>
      </c>
      <c r="DK17" s="168"/>
      <c r="DL17" s="168"/>
      <c r="DM17" s="168"/>
      <c r="DN17" s="168"/>
      <c r="DO17" s="168"/>
      <c r="DP17" s="168"/>
      <c r="DQ17" s="168"/>
      <c r="DR17" s="168"/>
      <c r="DS17" s="168"/>
      <c r="DT17" s="168"/>
      <c r="DU17" s="168" t="s">
        <v>805</v>
      </c>
      <c r="DV17" s="168"/>
      <c r="DW17" s="168"/>
      <c r="DX17" s="168"/>
      <c r="DY17" s="168"/>
      <c r="DZ17" s="168"/>
      <c r="EA17" s="168"/>
      <c r="EB17" s="168"/>
      <c r="EC17" s="168"/>
      <c r="ED17" s="168"/>
      <c r="EE17" s="168"/>
      <c r="EF17" s="168"/>
      <c r="EG17" s="168"/>
      <c r="EH17" s="168"/>
      <c r="EI17" s="168" t="s">
        <v>819</v>
      </c>
      <c r="EJ17" s="168"/>
      <c r="EK17" s="168"/>
      <c r="EL17" s="168"/>
      <c r="EM17" s="168"/>
      <c r="EN17" s="168"/>
      <c r="EO17" s="1322" t="s">
        <v>1058</v>
      </c>
      <c r="EP17" s="1322" t="s">
        <v>1062</v>
      </c>
      <c r="EQ17" s="1322" t="s">
        <v>1067</v>
      </c>
      <c r="ER17" s="1343">
        <v>1000</v>
      </c>
      <c r="ES17" s="1337"/>
      <c r="ET17" s="1523"/>
      <c r="EU17" s="1523"/>
    </row>
    <row r="18" spans="1:151" ht="14.25" customHeight="1">
      <c r="A18" s="7" t="s">
        <v>191</v>
      </c>
      <c r="B18" s="21" t="s">
        <v>522</v>
      </c>
      <c r="C18" s="22" t="s">
        <v>8</v>
      </c>
      <c r="D18" s="23" t="s">
        <v>114</v>
      </c>
      <c r="E18" s="21" t="s">
        <v>114</v>
      </c>
      <c r="F18" s="21" t="s">
        <v>186</v>
      </c>
      <c r="G18" s="6"/>
      <c r="H18" s="24"/>
      <c r="I18" s="25" t="s">
        <v>192</v>
      </c>
      <c r="J18" s="26" t="s">
        <v>1143</v>
      </c>
      <c r="K18" s="26" t="s">
        <v>194</v>
      </c>
      <c r="L18" s="26" t="s">
        <v>1063</v>
      </c>
      <c r="M18" s="26" t="s">
        <v>684</v>
      </c>
      <c r="N18" s="26" t="s">
        <v>204</v>
      </c>
      <c r="O18" s="26" t="s">
        <v>291</v>
      </c>
      <c r="P18" s="26" t="s">
        <v>632</v>
      </c>
      <c r="Q18" s="26" t="s">
        <v>633</v>
      </c>
      <c r="R18" s="26" t="s">
        <v>634</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707</v>
      </c>
      <c r="AT18" s="533" t="s">
        <v>428</v>
      </c>
      <c r="AU18" s="161" t="s">
        <v>429</v>
      </c>
      <c r="AV18" s="533" t="s">
        <v>430</v>
      </c>
      <c r="AW18" s="161" t="s">
        <v>431</v>
      </c>
      <c r="AX18" s="533" t="s">
        <v>432</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397</v>
      </c>
      <c r="BW18" s="167" t="s">
        <v>404</v>
      </c>
      <c r="BX18" s="167" t="s">
        <v>405</v>
      </c>
      <c r="BY18" s="186" t="s">
        <v>938</v>
      </c>
      <c r="BZ18" s="187" t="s">
        <v>993</v>
      </c>
      <c r="CA18" s="167"/>
      <c r="CB18" s="167"/>
      <c r="CC18" s="167"/>
      <c r="CD18" s="167"/>
      <c r="CE18" s="167"/>
      <c r="CF18" s="167"/>
      <c r="CG18" s="167"/>
      <c r="CH18" s="167"/>
      <c r="CI18" s="167" t="s">
        <v>676</v>
      </c>
      <c r="CJ18" s="167" t="s">
        <v>387</v>
      </c>
      <c r="CK18" s="167" t="s">
        <v>617</v>
      </c>
      <c r="CL18" s="167" t="s">
        <v>618</v>
      </c>
      <c r="CM18" s="167" t="s">
        <v>618</v>
      </c>
      <c r="CN18" s="167">
        <v>1175</v>
      </c>
      <c r="CO18" s="167">
        <v>1800</v>
      </c>
      <c r="CP18" s="315" t="s">
        <v>541</v>
      </c>
      <c r="CQ18" s="167" t="s">
        <v>992</v>
      </c>
      <c r="CR18" s="167"/>
      <c r="CS18" s="167" t="s">
        <v>824</v>
      </c>
      <c r="CT18" s="169"/>
      <c r="CU18" s="169"/>
      <c r="CV18" s="169" t="s">
        <v>408</v>
      </c>
      <c r="CW18" s="169" t="s">
        <v>448</v>
      </c>
      <c r="CX18" s="169" t="s">
        <v>451</v>
      </c>
      <c r="CY18" s="169"/>
      <c r="CZ18" s="169"/>
      <c r="DA18" s="169"/>
      <c r="DB18" s="355" t="s">
        <v>1050</v>
      </c>
      <c r="DC18" s="361"/>
      <c r="DD18" s="169"/>
      <c r="DE18" s="362" t="s">
        <v>694</v>
      </c>
      <c r="DF18" s="362" t="s">
        <v>193</v>
      </c>
      <c r="DG18" s="534"/>
      <c r="DH18" s="167" t="s">
        <v>559</v>
      </c>
      <c r="DI18" s="167" t="s">
        <v>557</v>
      </c>
      <c r="DJ18" s="167" t="s">
        <v>558</v>
      </c>
      <c r="DK18" s="167"/>
      <c r="DL18" s="167"/>
      <c r="DM18" s="168"/>
      <c r="DN18" s="168"/>
      <c r="DO18" s="168"/>
      <c r="DP18" s="168"/>
      <c r="DQ18" s="168"/>
      <c r="DR18" s="168"/>
      <c r="DS18" s="168"/>
      <c r="DT18" s="168"/>
      <c r="DU18" s="168" t="s">
        <v>806</v>
      </c>
      <c r="DV18" s="168"/>
      <c r="DW18" s="168"/>
      <c r="DX18" s="168"/>
      <c r="DY18" s="168"/>
      <c r="DZ18" s="168"/>
      <c r="EA18" s="168"/>
      <c r="EB18" s="168" t="s">
        <v>817</v>
      </c>
      <c r="EC18" s="168" t="s">
        <v>820</v>
      </c>
      <c r="ED18" s="168"/>
      <c r="EE18" s="168">
        <v>1200</v>
      </c>
      <c r="EF18" s="168">
        <v>600</v>
      </c>
      <c r="EG18" s="168"/>
      <c r="EH18" s="168"/>
      <c r="EI18" s="168" t="s">
        <v>822</v>
      </c>
      <c r="EJ18" s="168"/>
      <c r="EK18" s="168"/>
      <c r="EL18" s="168"/>
      <c r="EM18" s="168"/>
      <c r="EN18" s="168"/>
      <c r="EO18" s="355" t="s">
        <v>1050</v>
      </c>
      <c r="EP18" s="355" t="s">
        <v>194</v>
      </c>
      <c r="EQ18" s="355" t="s">
        <v>1063</v>
      </c>
      <c r="ER18" s="1342">
        <v>1600</v>
      </c>
      <c r="ES18" s="381"/>
      <c r="ET18" s="1523"/>
      <c r="EU18" s="1523"/>
    </row>
    <row r="19" spans="1:151" ht="14.25" customHeight="1">
      <c r="A19" s="7" t="s">
        <v>526</v>
      </c>
      <c r="B19" s="21" t="s">
        <v>522</v>
      </c>
      <c r="C19" s="22" t="s">
        <v>8</v>
      </c>
      <c r="D19" s="23" t="s">
        <v>28</v>
      </c>
      <c r="E19" s="21" t="s">
        <v>28</v>
      </c>
      <c r="F19" s="21">
        <v>26</v>
      </c>
      <c r="G19" s="6"/>
      <c r="H19" s="24"/>
      <c r="I19" s="25" t="s">
        <v>67</v>
      </c>
      <c r="J19" s="26" t="s">
        <v>461</v>
      </c>
      <c r="K19" s="26" t="s">
        <v>1132</v>
      </c>
      <c r="L19" s="26" t="s">
        <v>135</v>
      </c>
      <c r="M19" s="26" t="s">
        <v>139</v>
      </c>
      <c r="N19" s="26" t="s">
        <v>213</v>
      </c>
      <c r="O19" s="26" t="s">
        <v>296</v>
      </c>
      <c r="P19" s="26" t="s">
        <v>198</v>
      </c>
      <c r="Q19" s="26" t="s">
        <v>202</v>
      </c>
      <c r="R19" s="26" t="s">
        <v>210</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399</v>
      </c>
      <c r="BW19" s="170"/>
      <c r="BX19" s="170"/>
      <c r="BY19" s="170" t="s">
        <v>688</v>
      </c>
      <c r="BZ19" s="170"/>
      <c r="CA19" s="170"/>
      <c r="CB19" s="170"/>
      <c r="CC19" s="170"/>
      <c r="CD19" s="170"/>
      <c r="CE19" s="170"/>
      <c r="CF19" s="170"/>
      <c r="CG19" s="170"/>
      <c r="CH19" s="170"/>
      <c r="CI19" s="170" t="s">
        <v>672</v>
      </c>
      <c r="CJ19" s="170" t="s">
        <v>383</v>
      </c>
      <c r="CK19" s="170" t="s">
        <v>619</v>
      </c>
      <c r="CL19" s="170" t="s">
        <v>620</v>
      </c>
      <c r="CM19" s="170" t="s">
        <v>621</v>
      </c>
      <c r="CN19" s="170">
        <v>1262</v>
      </c>
      <c r="CO19" s="170">
        <v>700</v>
      </c>
      <c r="CP19" s="170">
        <v>1262</v>
      </c>
      <c r="CQ19" s="170" t="s">
        <v>996</v>
      </c>
      <c r="CR19" s="170"/>
      <c r="CS19" s="170"/>
      <c r="CT19" s="169"/>
      <c r="CU19" s="169"/>
      <c r="CV19" s="169" t="s">
        <v>410</v>
      </c>
      <c r="CW19" s="169" t="s">
        <v>444</v>
      </c>
      <c r="CX19" s="169" t="s">
        <v>455</v>
      </c>
      <c r="CY19" s="169" t="s">
        <v>581</v>
      </c>
      <c r="CZ19" s="169" t="s">
        <v>582</v>
      </c>
      <c r="DA19" s="169" t="s">
        <v>583</v>
      </c>
      <c r="DB19" s="160" t="s">
        <v>60</v>
      </c>
      <c r="DC19" s="356"/>
      <c r="DD19" s="169"/>
      <c r="DE19" s="362" t="s">
        <v>318</v>
      </c>
      <c r="DF19" s="362" t="s">
        <v>825</v>
      </c>
      <c r="DG19" s="534" t="s">
        <v>592</v>
      </c>
      <c r="DH19" s="170" t="s">
        <v>563</v>
      </c>
      <c r="DI19" s="170" t="s">
        <v>564</v>
      </c>
      <c r="DJ19" s="170" t="s">
        <v>565</v>
      </c>
      <c r="DK19" s="170"/>
      <c r="DL19" s="170"/>
      <c r="DM19" s="168"/>
      <c r="DN19" s="168"/>
      <c r="DO19" s="168"/>
      <c r="DP19" s="168"/>
      <c r="DQ19" s="168"/>
      <c r="DR19" s="168"/>
      <c r="DS19" s="168"/>
      <c r="DT19" s="168"/>
      <c r="DU19" s="168" t="s">
        <v>807</v>
      </c>
      <c r="DV19" s="168"/>
      <c r="DW19" s="168"/>
      <c r="DX19" s="168"/>
      <c r="DY19" s="168"/>
      <c r="DZ19" s="168"/>
      <c r="EA19" s="168"/>
      <c r="EB19" s="168"/>
      <c r="EC19" s="168"/>
      <c r="ED19" s="168"/>
      <c r="EE19" s="168"/>
      <c r="EF19" s="168"/>
      <c r="EG19" s="168"/>
      <c r="EH19" s="168"/>
      <c r="EI19" s="168"/>
      <c r="EJ19" s="168"/>
      <c r="EK19" s="168"/>
      <c r="EL19" s="168"/>
      <c r="EM19" s="168"/>
      <c r="EN19" s="168"/>
      <c r="EO19" s="1322" t="s">
        <v>1022</v>
      </c>
      <c r="EP19" s="1322" t="s">
        <v>1023</v>
      </c>
      <c r="EQ19" s="1322" t="s">
        <v>1024</v>
      </c>
      <c r="ER19" s="1343">
        <v>875</v>
      </c>
      <c r="ES19" s="1337"/>
      <c r="ET19" s="1523"/>
      <c r="EU19" s="1523"/>
    </row>
    <row r="20" spans="1:151" ht="14.25" customHeight="1">
      <c r="A20" s="7" t="s">
        <v>527</v>
      </c>
      <c r="B20" s="21" t="s">
        <v>522</v>
      </c>
      <c r="C20" s="22" t="s">
        <v>8</v>
      </c>
      <c r="D20" s="23" t="s">
        <v>29</v>
      </c>
      <c r="E20" s="21" t="s">
        <v>29</v>
      </c>
      <c r="F20" s="21">
        <v>25</v>
      </c>
      <c r="G20" s="6"/>
      <c r="H20" s="24"/>
      <c r="I20" s="25" t="s">
        <v>68</v>
      </c>
      <c r="J20" s="26" t="s">
        <v>69</v>
      </c>
      <c r="K20" s="26" t="s">
        <v>117</v>
      </c>
      <c r="L20" s="26" t="s">
        <v>70</v>
      </c>
      <c r="M20" s="26" t="s">
        <v>121</v>
      </c>
      <c r="N20" s="26" t="s">
        <v>629</v>
      </c>
      <c r="O20" s="26" t="s">
        <v>630</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547</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703</v>
      </c>
      <c r="BZ20" s="170" t="s">
        <v>467</v>
      </c>
      <c r="CA20" s="170"/>
      <c r="CB20" s="170"/>
      <c r="CC20" s="170"/>
      <c r="CD20" s="170"/>
      <c r="CE20" s="170"/>
      <c r="CF20" s="170"/>
      <c r="CG20" s="170"/>
      <c r="CH20" s="170"/>
      <c r="CI20" s="170"/>
      <c r="CJ20" s="170"/>
      <c r="CK20" s="170"/>
      <c r="CL20" s="170"/>
      <c r="CM20" s="170"/>
      <c r="CN20" s="170">
        <v>1148</v>
      </c>
      <c r="CO20" s="170">
        <v>1000</v>
      </c>
      <c r="CP20" s="170">
        <v>1148</v>
      </c>
      <c r="CQ20" s="170" t="s">
        <v>995</v>
      </c>
      <c r="CR20" s="170" t="s">
        <v>467</v>
      </c>
      <c r="CS20" s="170"/>
      <c r="CT20" s="169"/>
      <c r="CU20" s="169"/>
      <c r="CV20" s="169"/>
      <c r="CW20" s="169" t="s">
        <v>445</v>
      </c>
      <c r="CX20" s="169"/>
      <c r="CY20" s="169"/>
      <c r="CZ20" s="169"/>
      <c r="DA20" s="169"/>
      <c r="DB20" s="196" t="s">
        <v>69</v>
      </c>
      <c r="DC20" s="356"/>
      <c r="DD20" s="169"/>
      <c r="DE20" s="169"/>
      <c r="DF20" s="169"/>
      <c r="DG20" s="534"/>
      <c r="DH20" s="170"/>
      <c r="DI20" s="170"/>
      <c r="DJ20" s="170"/>
      <c r="DK20" s="170"/>
      <c r="DL20" s="170"/>
      <c r="DM20" s="168"/>
      <c r="DN20" s="168"/>
      <c r="DO20" s="168"/>
      <c r="DP20" s="168"/>
      <c r="DQ20" s="168"/>
      <c r="DR20" s="168"/>
      <c r="DS20" s="168"/>
      <c r="DT20" s="168"/>
      <c r="DU20" s="168" t="s">
        <v>808</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6">
        <v>5240</v>
      </c>
      <c r="ES20" s="538"/>
      <c r="ET20" s="1523"/>
      <c r="EU20" s="1523"/>
    </row>
    <row r="21" spans="1:151" ht="14.25" customHeight="1">
      <c r="A21" s="7" t="s">
        <v>528</v>
      </c>
      <c r="B21" s="21" t="s">
        <v>522</v>
      </c>
      <c r="C21" s="22" t="s">
        <v>8</v>
      </c>
      <c r="D21" s="23" t="s">
        <v>30</v>
      </c>
      <c r="E21" s="21" t="s">
        <v>30</v>
      </c>
      <c r="F21" s="21">
        <v>22</v>
      </c>
      <c r="G21" s="6"/>
      <c r="H21" s="28" t="s">
        <v>53</v>
      </c>
      <c r="I21" s="25" t="s">
        <v>947</v>
      </c>
      <c r="J21" s="26" t="s">
        <v>948</v>
      </c>
      <c r="K21" s="26" t="s">
        <v>949</v>
      </c>
      <c r="L21" s="26" t="s">
        <v>950</v>
      </c>
      <c r="M21" s="26" t="s">
        <v>951</v>
      </c>
      <c r="N21" s="26" t="s">
        <v>952</v>
      </c>
      <c r="O21" s="26" t="s">
        <v>953</v>
      </c>
      <c r="P21" s="26" t="s">
        <v>954</v>
      </c>
      <c r="Q21" s="26" t="s">
        <v>955</v>
      </c>
      <c r="R21" s="26" t="s">
        <v>956</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959</v>
      </c>
      <c r="AT21" s="27"/>
      <c r="AU21" s="52" t="s">
        <v>957</v>
      </c>
      <c r="AV21" s="27"/>
      <c r="AW21" s="52" t="s">
        <v>958</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960</v>
      </c>
      <c r="BW21" s="170" t="s">
        <v>402</v>
      </c>
      <c r="BX21" s="170" t="s">
        <v>403</v>
      </c>
      <c r="BY21" s="186" t="s">
        <v>991</v>
      </c>
      <c r="BZ21" s="186"/>
      <c r="CA21" s="170"/>
      <c r="CB21" s="170"/>
      <c r="CC21" s="170"/>
      <c r="CD21" s="170"/>
      <c r="CE21" s="170"/>
      <c r="CF21" s="170"/>
      <c r="CG21" s="170"/>
      <c r="CH21" s="170"/>
      <c r="CI21" s="170" t="s">
        <v>961</v>
      </c>
      <c r="CJ21" s="170" t="s">
        <v>962</v>
      </c>
      <c r="CK21" s="170" t="s">
        <v>963</v>
      </c>
      <c r="CL21" s="170" t="s">
        <v>964</v>
      </c>
      <c r="CM21" s="170" t="s">
        <v>965</v>
      </c>
      <c r="CN21" s="186" t="s">
        <v>418</v>
      </c>
      <c r="CO21" s="170">
        <v>450</v>
      </c>
      <c r="CP21" s="186" t="s">
        <v>418</v>
      </c>
      <c r="CQ21" s="186" t="s">
        <v>689</v>
      </c>
      <c r="CR21" s="186"/>
      <c r="CS21" s="170"/>
      <c r="CT21" s="169"/>
      <c r="CU21" s="169"/>
      <c r="CV21" s="169" t="s">
        <v>412</v>
      </c>
      <c r="CW21" s="169" t="s">
        <v>446</v>
      </c>
      <c r="CX21" s="169" t="s">
        <v>454</v>
      </c>
      <c r="CY21" s="169"/>
      <c r="CZ21" s="169"/>
      <c r="DA21" s="169"/>
      <c r="DB21" s="160" t="s">
        <v>959</v>
      </c>
      <c r="DC21" s="363" t="s">
        <v>214</v>
      </c>
      <c r="DD21" s="169"/>
      <c r="DE21" s="362" t="s">
        <v>966</v>
      </c>
      <c r="DF21" s="362" t="s">
        <v>990</v>
      </c>
      <c r="DG21" s="534"/>
      <c r="DH21" s="170" t="s">
        <v>566</v>
      </c>
      <c r="DI21" s="170" t="s">
        <v>567</v>
      </c>
      <c r="DJ21" s="170" t="s">
        <v>568</v>
      </c>
      <c r="DK21" s="170"/>
      <c r="DL21" s="170"/>
      <c r="DM21" s="168"/>
      <c r="DN21" s="168"/>
      <c r="DO21" s="168"/>
      <c r="DP21" s="168"/>
      <c r="DQ21" s="168"/>
      <c r="DR21" s="168"/>
      <c r="DS21" s="168"/>
      <c r="DT21" s="168"/>
      <c r="DU21" s="168" t="s">
        <v>809</v>
      </c>
      <c r="DV21" s="168"/>
      <c r="DW21" s="168"/>
      <c r="DX21" s="168"/>
      <c r="DY21" s="168"/>
      <c r="DZ21" s="168"/>
      <c r="EA21" s="168"/>
      <c r="EB21" s="168"/>
      <c r="EC21" s="168"/>
      <c r="ED21" s="168" t="s">
        <v>71</v>
      </c>
      <c r="EE21" s="228"/>
      <c r="EF21" s="168">
        <v>600</v>
      </c>
      <c r="EG21" s="168">
        <v>400</v>
      </c>
      <c r="EH21" s="168">
        <v>450</v>
      </c>
      <c r="EI21" s="168"/>
      <c r="EJ21" s="168" t="s">
        <v>823</v>
      </c>
      <c r="EK21" s="168"/>
      <c r="EL21" s="168"/>
      <c r="EM21" s="168"/>
      <c r="EN21" s="168"/>
      <c r="EO21" s="377" t="s">
        <v>1034</v>
      </c>
      <c r="EP21" s="377" t="s">
        <v>1035</v>
      </c>
      <c r="EQ21" s="377" t="s">
        <v>1036</v>
      </c>
      <c r="ER21" s="1344" t="s">
        <v>1017</v>
      </c>
      <c r="ES21" s="382"/>
      <c r="ET21" s="1523"/>
      <c r="EU21" s="1523"/>
    </row>
    <row r="22" spans="1:151" ht="14.25" customHeight="1">
      <c r="A22" s="7" t="s">
        <v>529</v>
      </c>
      <c r="B22" s="21" t="s">
        <v>522</v>
      </c>
      <c r="C22" s="22" t="s">
        <v>8</v>
      </c>
      <c r="D22" s="23" t="s">
        <v>30</v>
      </c>
      <c r="E22" s="21">
        <v>10</v>
      </c>
      <c r="F22" s="21">
        <v>22</v>
      </c>
      <c r="G22" s="6"/>
      <c r="H22" s="28" t="s">
        <v>53</v>
      </c>
      <c r="I22" s="26" t="s">
        <v>121</v>
      </c>
      <c r="J22" s="26" t="s">
        <v>121</v>
      </c>
      <c r="K22" s="26" t="s">
        <v>121</v>
      </c>
      <c r="L22" s="26" t="s">
        <v>121</v>
      </c>
      <c r="M22" s="26" t="s">
        <v>121</v>
      </c>
      <c r="N22" s="196" t="s">
        <v>631</v>
      </c>
      <c r="O22" s="26" t="s">
        <v>303</v>
      </c>
      <c r="P22" s="26" t="s">
        <v>215</v>
      </c>
      <c r="Q22" s="26" t="s">
        <v>216</v>
      </c>
      <c r="R22" s="26" t="s">
        <v>217</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215</v>
      </c>
      <c r="AT22" s="27"/>
      <c r="AU22" s="52" t="s">
        <v>216</v>
      </c>
      <c r="AV22" s="27"/>
      <c r="AW22" s="52" t="s">
        <v>217</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406</v>
      </c>
      <c r="BZ22" s="170"/>
      <c r="CA22" s="170"/>
      <c r="CB22" s="170"/>
      <c r="CC22" s="170"/>
      <c r="CD22" s="170"/>
      <c r="CE22" s="170"/>
      <c r="CF22" s="170"/>
      <c r="CG22" s="170"/>
      <c r="CH22" s="170"/>
      <c r="CI22" s="170"/>
      <c r="CJ22" s="170"/>
      <c r="CK22" s="170"/>
      <c r="CL22" s="170"/>
      <c r="CM22" s="170"/>
      <c r="CN22" s="170">
        <v>1292</v>
      </c>
      <c r="CO22" s="170">
        <v>2655</v>
      </c>
      <c r="CP22" s="170">
        <v>1292</v>
      </c>
      <c r="CQ22" s="170" t="s">
        <v>885</v>
      </c>
      <c r="CR22" s="170"/>
      <c r="CS22" s="170"/>
      <c r="CT22" s="169"/>
      <c r="CU22" s="169"/>
      <c r="CV22" s="169"/>
      <c r="CW22" s="169"/>
      <c r="CX22" s="169"/>
      <c r="CY22" s="169"/>
      <c r="CZ22" s="169"/>
      <c r="DA22" s="169"/>
      <c r="DB22" s="160" t="s">
        <v>215</v>
      </c>
      <c r="DC22" s="356"/>
      <c r="DD22" s="169"/>
      <c r="DE22" s="362" t="s">
        <v>319</v>
      </c>
      <c r="DF22" s="362" t="s">
        <v>319</v>
      </c>
      <c r="DG22" s="534"/>
      <c r="DH22" s="170"/>
      <c r="DI22" s="170"/>
      <c r="DJ22" s="170"/>
      <c r="DK22" s="170"/>
      <c r="DL22" s="170"/>
      <c r="DM22" s="168"/>
      <c r="DN22" s="168"/>
      <c r="DO22" s="168"/>
      <c r="DP22" s="168"/>
      <c r="DQ22" s="168"/>
      <c r="DR22" s="168"/>
      <c r="DS22" s="168"/>
      <c r="DT22" s="168"/>
      <c r="DU22" s="168" t="s">
        <v>809</v>
      </c>
      <c r="DV22" s="168"/>
      <c r="DW22" s="168"/>
      <c r="DX22" s="168"/>
      <c r="DY22" s="168"/>
      <c r="DZ22" s="168"/>
      <c r="EA22" s="168"/>
      <c r="EB22" s="168"/>
      <c r="EC22" s="168"/>
      <c r="ED22" s="168"/>
      <c r="EE22" s="168"/>
      <c r="EF22" s="168"/>
      <c r="EG22" s="168"/>
      <c r="EH22" s="168"/>
      <c r="EI22" s="168"/>
      <c r="EJ22" s="794" t="s">
        <v>892</v>
      </c>
      <c r="EK22" s="168"/>
      <c r="EL22" s="168"/>
      <c r="EM22" s="168"/>
      <c r="EN22" s="168"/>
      <c r="EO22" s="160" t="s">
        <v>1025</v>
      </c>
      <c r="EP22" s="160" t="s">
        <v>1026</v>
      </c>
      <c r="EQ22" s="160" t="s">
        <v>1027</v>
      </c>
      <c r="ER22" s="1343">
        <v>2400</v>
      </c>
      <c r="ES22" s="382"/>
      <c r="ET22" s="1523"/>
      <c r="EU22" s="1523"/>
    </row>
    <row r="23" spans="1:151" ht="14.25" customHeight="1" thickBot="1">
      <c r="A23" s="77" t="s">
        <v>5</v>
      </c>
      <c r="B23" s="78" t="s">
        <v>522</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522</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522</v>
      </c>
      <c r="C25" s="22" t="s">
        <v>8</v>
      </c>
      <c r="D25" s="23">
        <v>30</v>
      </c>
      <c r="E25" s="21">
        <v>30</v>
      </c>
      <c r="F25" s="21">
        <v>23</v>
      </c>
      <c r="G25" s="6"/>
      <c r="H25" s="24"/>
      <c r="I25" s="25" t="s">
        <v>79</v>
      </c>
      <c r="J25" s="26" t="s">
        <v>209</v>
      </c>
      <c r="K25" s="26" t="s">
        <v>312</v>
      </c>
      <c r="L25" s="26" t="s">
        <v>81</v>
      </c>
      <c r="M25" s="26" t="s">
        <v>83</v>
      </c>
      <c r="N25" s="26" t="s">
        <v>708</v>
      </c>
      <c r="O25" s="26" t="s">
        <v>298</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401</v>
      </c>
      <c r="BW25" s="170" t="s">
        <v>607</v>
      </c>
      <c r="BX25" s="170" t="s">
        <v>464</v>
      </c>
      <c r="BY25" s="170" t="s">
        <v>700</v>
      </c>
      <c r="BZ25" s="170"/>
      <c r="CA25" s="170"/>
      <c r="CB25" s="170"/>
      <c r="CC25" s="170"/>
      <c r="CD25" s="170"/>
      <c r="CE25" s="170"/>
      <c r="CF25" s="170"/>
      <c r="CG25" s="170"/>
      <c r="CH25" s="170"/>
      <c r="CI25" s="170" t="s">
        <v>674</v>
      </c>
      <c r="CJ25" s="170" t="s">
        <v>386</v>
      </c>
      <c r="CK25" s="170" t="s">
        <v>622</v>
      </c>
      <c r="CL25" s="170" t="s">
        <v>623</v>
      </c>
      <c r="CM25" s="170" t="s">
        <v>624</v>
      </c>
      <c r="CN25" s="170">
        <v>1262</v>
      </c>
      <c r="CO25" s="170">
        <v>600</v>
      </c>
      <c r="CP25" s="170">
        <v>1262</v>
      </c>
      <c r="CQ25" s="170" t="s">
        <v>701</v>
      </c>
      <c r="CR25" s="170"/>
      <c r="CS25" s="170"/>
      <c r="CT25" s="169"/>
      <c r="CU25" s="169"/>
      <c r="CV25" s="169" t="s">
        <v>413</v>
      </c>
      <c r="CW25" s="169" t="s">
        <v>447</v>
      </c>
      <c r="CX25" s="169" t="s">
        <v>453</v>
      </c>
      <c r="CY25" s="169" t="s">
        <v>584</v>
      </c>
      <c r="CZ25" s="169" t="s">
        <v>585</v>
      </c>
      <c r="DA25" s="169" t="s">
        <v>586</v>
      </c>
      <c r="DB25" s="160" t="s">
        <v>80</v>
      </c>
      <c r="DC25" s="356"/>
      <c r="DD25" s="169"/>
      <c r="DE25" s="364" t="s">
        <v>320</v>
      </c>
      <c r="DF25" s="350" t="s">
        <v>709</v>
      </c>
      <c r="DG25" s="534" t="s">
        <v>593</v>
      </c>
      <c r="DH25" s="170" t="s">
        <v>569</v>
      </c>
      <c r="DI25" s="170" t="s">
        <v>570</v>
      </c>
      <c r="DJ25" s="170" t="s">
        <v>571</v>
      </c>
      <c r="DK25" s="170"/>
      <c r="DL25" s="170"/>
      <c r="DM25" s="170" t="s">
        <v>740</v>
      </c>
      <c r="DN25" s="170" t="s">
        <v>741</v>
      </c>
      <c r="DO25" s="170" t="s">
        <v>742</v>
      </c>
      <c r="DP25" s="170"/>
      <c r="DQ25" s="170" t="s">
        <v>743</v>
      </c>
      <c r="DR25" s="170" t="s">
        <v>744</v>
      </c>
      <c r="DS25" s="170"/>
      <c r="DT25" s="170" t="s">
        <v>745</v>
      </c>
      <c r="DU25" s="170" t="s">
        <v>746</v>
      </c>
      <c r="DV25" s="170" t="s">
        <v>747</v>
      </c>
      <c r="DW25" s="170" t="s">
        <v>748</v>
      </c>
      <c r="DX25" s="170" t="s">
        <v>749</v>
      </c>
      <c r="DY25" s="170" t="s">
        <v>750</v>
      </c>
      <c r="DZ25" s="170" t="s">
        <v>751</v>
      </c>
      <c r="EA25" s="170" t="s">
        <v>752</v>
      </c>
      <c r="EB25" s="170"/>
      <c r="EC25" s="170"/>
      <c r="ED25" s="170"/>
      <c r="EE25" s="170"/>
      <c r="EF25" s="170"/>
      <c r="EG25" s="170"/>
      <c r="EH25" s="170"/>
      <c r="EI25" s="170"/>
      <c r="EJ25" s="170"/>
      <c r="EK25" s="170"/>
      <c r="EL25" s="170"/>
      <c r="EM25" s="170"/>
      <c r="EN25" s="170"/>
      <c r="EO25" s="160" t="s">
        <v>80</v>
      </c>
      <c r="EP25" s="160" t="s">
        <v>82</v>
      </c>
      <c r="EQ25" s="160" t="s">
        <v>81</v>
      </c>
      <c r="ER25" s="1343">
        <v>570</v>
      </c>
      <c r="ES25" s="382"/>
      <c r="ET25" s="1523"/>
      <c r="EU25" s="1523"/>
    </row>
    <row r="26" spans="1:151" ht="14.25" customHeight="1" thickBot="1">
      <c r="A26" s="77" t="s">
        <v>5</v>
      </c>
      <c r="B26" s="78" t="s">
        <v>522</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522</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522</v>
      </c>
      <c r="C28" s="22" t="s">
        <v>8</v>
      </c>
      <c r="D28" s="23" t="s">
        <v>31</v>
      </c>
      <c r="E28" s="21" t="s">
        <v>31</v>
      </c>
      <c r="F28" s="21">
        <v>24</v>
      </c>
      <c r="G28" s="6"/>
      <c r="H28" s="30" t="s">
        <v>54</v>
      </c>
      <c r="I28" s="25" t="s">
        <v>968</v>
      </c>
      <c r="J28" s="26" t="s">
        <v>969</v>
      </c>
      <c r="K28" s="26" t="s">
        <v>970</v>
      </c>
      <c r="L28" s="26" t="s">
        <v>971</v>
      </c>
      <c r="M28" s="26" t="s">
        <v>972</v>
      </c>
      <c r="N28" s="26" t="s">
        <v>984</v>
      </c>
      <c r="O28" s="26" t="s">
        <v>973</v>
      </c>
      <c r="P28" s="26" t="s">
        <v>974</v>
      </c>
      <c r="Q28" s="26" t="s">
        <v>975</v>
      </c>
      <c r="R28" s="26" t="s">
        <v>976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985</v>
      </c>
      <c r="AT28" s="27"/>
      <c r="AU28" s="52" t="s">
        <v>986</v>
      </c>
      <c r="AV28" s="27"/>
      <c r="AW28" s="52" t="s">
        <v>987</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977</v>
      </c>
      <c r="BW28" s="170" t="s">
        <v>967</v>
      </c>
      <c r="BX28" s="170" t="s">
        <v>978</v>
      </c>
      <c r="BY28" s="186" t="s">
        <v>989</v>
      </c>
      <c r="BZ28" s="186"/>
      <c r="CA28" s="170" t="s">
        <v>373</v>
      </c>
      <c r="CB28" s="170" t="s">
        <v>374</v>
      </c>
      <c r="CC28" s="170" t="s">
        <v>375</v>
      </c>
      <c r="CD28" s="170" t="s">
        <v>376</v>
      </c>
      <c r="CE28" s="170"/>
      <c r="CF28" s="170"/>
      <c r="CG28" s="170"/>
      <c r="CH28" s="170"/>
      <c r="CI28" s="170" t="s">
        <v>979</v>
      </c>
      <c r="CJ28" s="170" t="s">
        <v>980</v>
      </c>
      <c r="CK28" s="170" t="s">
        <v>625</v>
      </c>
      <c r="CL28" s="170" t="s">
        <v>626</v>
      </c>
      <c r="CM28" s="170" t="s">
        <v>627</v>
      </c>
      <c r="CN28" s="186" t="s">
        <v>417</v>
      </c>
      <c r="CO28" s="170">
        <v>850</v>
      </c>
      <c r="CP28" s="186" t="s">
        <v>417</v>
      </c>
      <c r="CQ28" s="170" t="s">
        <v>706</v>
      </c>
      <c r="CR28" s="170"/>
      <c r="CS28" s="170"/>
      <c r="CT28" s="169"/>
      <c r="CU28" s="169"/>
      <c r="CV28" s="169" t="s">
        <v>589</v>
      </c>
      <c r="CW28" s="169" t="s">
        <v>981</v>
      </c>
      <c r="CX28" s="169" t="s">
        <v>456</v>
      </c>
      <c r="CY28" s="169"/>
      <c r="CZ28" s="169"/>
      <c r="DA28" s="169"/>
      <c r="DB28" s="160" t="s">
        <v>985</v>
      </c>
      <c r="DC28" s="356"/>
      <c r="DD28" s="169"/>
      <c r="DE28" s="364" t="s">
        <v>982</v>
      </c>
      <c r="DF28" s="350" t="s">
        <v>988</v>
      </c>
      <c r="DG28" s="169"/>
      <c r="DH28" s="170" t="s">
        <v>572</v>
      </c>
      <c r="DI28" s="170" t="s">
        <v>573</v>
      </c>
      <c r="DJ28" s="170" t="s">
        <v>574</v>
      </c>
      <c r="DK28" s="170"/>
      <c r="DL28" s="170"/>
      <c r="DM28" s="658" t="s">
        <v>783</v>
      </c>
      <c r="DN28" s="170"/>
      <c r="DO28" s="170"/>
      <c r="DP28" s="170"/>
      <c r="DQ28" s="170"/>
      <c r="DR28" s="170"/>
      <c r="DS28" s="170"/>
      <c r="DT28" s="170"/>
      <c r="DU28" s="170" t="s">
        <v>782</v>
      </c>
      <c r="DV28" s="170"/>
      <c r="DW28" s="170"/>
      <c r="DX28" s="170"/>
      <c r="DY28" s="170"/>
      <c r="DZ28" s="170"/>
      <c r="EA28" s="170"/>
      <c r="EB28" s="170"/>
      <c r="EC28" s="170"/>
      <c r="ED28" s="170" t="s">
        <v>983</v>
      </c>
      <c r="EE28" s="170"/>
      <c r="EF28" s="170"/>
      <c r="EG28" s="170"/>
      <c r="EH28" s="170"/>
      <c r="EI28" s="170"/>
      <c r="EJ28" s="170"/>
      <c r="EK28" s="170"/>
      <c r="EL28" s="170"/>
      <c r="EM28" s="170"/>
      <c r="EN28" s="170"/>
      <c r="EO28" s="1324" t="s">
        <v>1013</v>
      </c>
      <c r="EP28" s="1324" t="s">
        <v>1014</v>
      </c>
      <c r="EQ28" s="1324" t="s">
        <v>1015</v>
      </c>
      <c r="ER28" s="1344" t="s">
        <v>1016</v>
      </c>
      <c r="ES28" s="1340"/>
      <c r="ET28" s="1523"/>
      <c r="EU28" s="1523"/>
    </row>
    <row r="29" spans="1:151" ht="13.9" customHeight="1">
      <c r="A29" s="7" t="s">
        <v>4</v>
      </c>
      <c r="B29" s="21" t="s">
        <v>522</v>
      </c>
      <c r="C29" s="22" t="s">
        <v>8</v>
      </c>
      <c r="D29" s="23" t="s">
        <v>31</v>
      </c>
      <c r="E29" s="21" t="s">
        <v>32</v>
      </c>
      <c r="F29" s="21">
        <v>24</v>
      </c>
      <c r="G29" s="6"/>
      <c r="H29" s="30" t="s">
        <v>54</v>
      </c>
      <c r="I29" s="26" t="s">
        <v>121</v>
      </c>
      <c r="J29" s="26" t="s">
        <v>121</v>
      </c>
      <c r="K29" s="26" t="s">
        <v>121</v>
      </c>
      <c r="L29" s="26" t="s">
        <v>121</v>
      </c>
      <c r="M29" s="26" t="s">
        <v>121</v>
      </c>
      <c r="N29" s="26" t="s">
        <v>705</v>
      </c>
      <c r="O29" s="26" t="s">
        <v>304</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331</v>
      </c>
      <c r="BX29" s="170" t="s">
        <v>332</v>
      </c>
      <c r="BY29" s="186" t="s">
        <v>813</v>
      </c>
      <c r="BZ29" s="170"/>
      <c r="CA29" s="170"/>
      <c r="CB29" s="170"/>
      <c r="CC29" s="170"/>
      <c r="CD29" s="170"/>
      <c r="CE29" s="170"/>
      <c r="CF29" s="170"/>
      <c r="CG29" s="170"/>
      <c r="CH29" s="170"/>
      <c r="CI29" s="170"/>
      <c r="CJ29" s="170"/>
      <c r="CK29" s="170"/>
      <c r="CL29" s="170"/>
      <c r="CM29" s="170"/>
      <c r="CN29" s="170">
        <v>1292</v>
      </c>
      <c r="CO29" s="170">
        <v>850</v>
      </c>
      <c r="CP29" s="170">
        <v>1292</v>
      </c>
      <c r="CQ29" s="170" t="s">
        <v>814</v>
      </c>
      <c r="CR29" s="170"/>
      <c r="CS29" s="170"/>
      <c r="CT29" s="169"/>
      <c r="CU29" s="169"/>
      <c r="CV29" s="169"/>
      <c r="CW29" s="169"/>
      <c r="CX29" s="169"/>
      <c r="CY29" s="169"/>
      <c r="CZ29" s="169"/>
      <c r="DA29" s="169"/>
      <c r="DB29" s="160" t="s">
        <v>34</v>
      </c>
      <c r="DC29" s="356"/>
      <c r="DD29" s="169"/>
      <c r="DE29" s="364" t="s">
        <v>321</v>
      </c>
      <c r="DF29" s="350"/>
      <c r="DG29" s="169"/>
      <c r="DH29" s="170"/>
      <c r="DI29" s="170"/>
      <c r="DJ29" s="170"/>
      <c r="DK29" s="170"/>
      <c r="DL29" s="170"/>
      <c r="DM29" s="170"/>
      <c r="DN29" s="170"/>
      <c r="DO29" s="170"/>
      <c r="DP29" s="170"/>
      <c r="DQ29" s="170"/>
      <c r="DR29" s="170"/>
      <c r="DS29" s="170"/>
      <c r="DT29" s="170"/>
      <c r="DU29" s="170" t="s">
        <v>782</v>
      </c>
      <c r="DV29" s="170"/>
      <c r="DW29" s="170"/>
      <c r="DX29" s="170"/>
      <c r="DY29" s="170"/>
      <c r="DZ29" s="170"/>
      <c r="EA29" s="170"/>
      <c r="EB29" s="170"/>
      <c r="EC29" s="170"/>
      <c r="ED29" s="170"/>
      <c r="EE29" s="170"/>
      <c r="EF29" s="170"/>
      <c r="EG29" s="170"/>
      <c r="EH29" s="170"/>
      <c r="EI29" s="170"/>
      <c r="EJ29" s="170"/>
      <c r="EK29" s="170"/>
      <c r="EL29" s="170"/>
      <c r="EM29" s="170"/>
      <c r="EN29" s="170"/>
      <c r="EO29" s="1322" t="s">
        <v>1037</v>
      </c>
      <c r="EP29" s="1322" t="s">
        <v>1038</v>
      </c>
      <c r="EQ29" s="1322" t="s">
        <v>1039</v>
      </c>
      <c r="ER29" s="1343">
        <v>3500</v>
      </c>
      <c r="ES29" s="1337"/>
      <c r="ET29" s="1523"/>
      <c r="EU29" s="1523"/>
    </row>
    <row r="30" spans="1:151" ht="14.25" customHeight="1" thickBot="1">
      <c r="A30" s="77" t="s">
        <v>5</v>
      </c>
      <c r="B30" s="78" t="s">
        <v>522</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6Sx+n+QxdApacHOWE51Xbi/32+EbFp+qe4HFTw9nhyla9e4LikWq2E84LSeahjZkal46A8h/FTnzcoulcSpXg==" saltValue="zL0GRSVYPVSiCDwacup/iQ==" spinCount="100000" sheet="1" objects="1" scenarios="1"/>
  <mergeCells count="119">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CE4:CH4"/>
    <mergeCell ref="CE5:CE7"/>
    <mergeCell ref="CH5:CH7"/>
    <mergeCell ref="CG5:CG7"/>
    <mergeCell ref="CF5:CF7"/>
    <mergeCell ref="BT5:BU5"/>
    <mergeCell ref="CB5:CB7"/>
    <mergeCell ref="BV5:BV7"/>
    <mergeCell ref="BN6:BN7"/>
    <mergeCell ref="BO6:BO7"/>
    <mergeCell ref="BP6:BP7"/>
    <mergeCell ref="BQ6:BQ7"/>
    <mergeCell ref="BX5:BX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I33" sqref="I33"/>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CATALUÑA</v>
      </c>
      <c r="F1" s="582"/>
    </row>
    <row r="2" spans="1:72" ht="16.5" customHeight="1">
      <c r="C2" s="571" t="str">
        <f>Criterios!A10 &amp;"  "&amp;Criterios!B10 &amp; "  " &amp; IF(NOT(ISBLANK(Criterios!A11)),Criterios!A11 &amp;"  "&amp;Criterios!B11,"")</f>
        <v>Provincias  BARCELONA  Resumenes por Partidos Judiciales  VILANOVA I LA GELTRU</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42" t="s">
        <v>468</v>
      </c>
      <c r="B5" s="297"/>
      <c r="C5" s="1883" t="str">
        <f>"Año:  " &amp;Criterios!B$5 &amp; "          Trimestre   " &amp;Criterios!D$5 &amp; " al " &amp;Criterios!D$6</f>
        <v>Año:  2021          Trimestre   1 al 4</v>
      </c>
      <c r="D5" s="1847" t="s">
        <v>494</v>
      </c>
      <c r="E5" s="1847" t="s">
        <v>753</v>
      </c>
      <c r="F5" s="1885" t="s">
        <v>530</v>
      </c>
      <c r="G5" s="1847" t="s">
        <v>176</v>
      </c>
      <c r="H5" s="1847" t="s">
        <v>786</v>
      </c>
      <c r="I5" s="1847" t="s">
        <v>754</v>
      </c>
      <c r="J5" s="1847" t="s">
        <v>871</v>
      </c>
      <c r="K5" s="1847" t="s">
        <v>872</v>
      </c>
      <c r="L5" s="1847" t="s">
        <v>755</v>
      </c>
      <c r="M5" s="1847" t="s">
        <v>710</v>
      </c>
      <c r="N5" s="1847" t="s">
        <v>873</v>
      </c>
      <c r="O5" s="1877" t="s">
        <v>784</v>
      </c>
      <c r="P5" s="1847" t="s">
        <v>893</v>
      </c>
      <c r="Q5" s="1847" t="s">
        <v>887</v>
      </c>
      <c r="R5" s="1847" t="s">
        <v>232</v>
      </c>
      <c r="S5" s="1880" t="s">
        <v>883</v>
      </c>
      <c r="T5" s="1880" t="s">
        <v>886</v>
      </c>
      <c r="U5" s="1847" t="s">
        <v>787</v>
      </c>
      <c r="V5" s="1880" t="s">
        <v>756</v>
      </c>
      <c r="W5" s="1847" t="s">
        <v>1046</v>
      </c>
      <c r="X5" s="1847" t="s">
        <v>1047</v>
      </c>
      <c r="Y5" s="1859" t="s">
        <v>874</v>
      </c>
      <c r="Z5" s="1850" t="s">
        <v>812</v>
      </c>
      <c r="AA5" s="1853" t="s">
        <v>757</v>
      </c>
      <c r="AB5" s="1850" t="s">
        <v>758</v>
      </c>
      <c r="AC5" s="1850" t="s">
        <v>759</v>
      </c>
      <c r="AD5" s="1856" t="s">
        <v>875</v>
      </c>
      <c r="AE5" s="1856" t="s">
        <v>1074</v>
      </c>
      <c r="AF5" s="1847" t="s">
        <v>888</v>
      </c>
      <c r="AG5" s="1847" t="s">
        <v>711</v>
      </c>
      <c r="AH5" s="1847" t="s">
        <v>876</v>
      </c>
      <c r="AI5" s="1847" t="s">
        <v>243</v>
      </c>
      <c r="AJ5" s="1847" t="s">
        <v>943</v>
      </c>
      <c r="AK5" s="1847" t="s">
        <v>712</v>
      </c>
      <c r="AL5" s="1847" t="s">
        <v>713</v>
      </c>
      <c r="AM5" s="1847" t="s">
        <v>894</v>
      </c>
      <c r="AN5" s="1847" t="s">
        <v>714</v>
      </c>
      <c r="AO5" s="1847" t="s">
        <v>715</v>
      </c>
      <c r="AP5" s="1847" t="s">
        <v>716</v>
      </c>
      <c r="AQ5" s="1847" t="s">
        <v>717</v>
      </c>
      <c r="AR5" s="1847" t="s">
        <v>877</v>
      </c>
      <c r="AS5" s="1847" t="s">
        <v>246</v>
      </c>
      <c r="AT5" s="1862" t="s">
        <v>244</v>
      </c>
      <c r="AU5" s="1847" t="s">
        <v>889</v>
      </c>
      <c r="AV5" s="1865" t="s">
        <v>890</v>
      </c>
      <c r="AW5" s="1868" t="s">
        <v>719</v>
      </c>
      <c r="AX5" s="1847" t="s">
        <v>720</v>
      </c>
      <c r="AY5" s="1847" t="s">
        <v>810</v>
      </c>
      <c r="AZ5" s="1871" t="s">
        <v>811</v>
      </c>
      <c r="BA5" s="1847" t="s">
        <v>761</v>
      </c>
      <c r="BB5" s="1865" t="s">
        <v>762</v>
      </c>
      <c r="BC5" s="1868" t="s">
        <v>247</v>
      </c>
      <c r="BD5" s="1847" t="s">
        <v>763</v>
      </c>
      <c r="BE5" s="1847" t="s">
        <v>324</v>
      </c>
      <c r="BF5" s="1847" t="s">
        <v>325</v>
      </c>
      <c r="BG5" s="1847" t="s">
        <v>326</v>
      </c>
      <c r="BH5" s="1847" t="s">
        <v>764</v>
      </c>
      <c r="BI5" s="1847" t="s">
        <v>327</v>
      </c>
      <c r="BJ5" s="1847" t="s">
        <v>765</v>
      </c>
      <c r="BK5" s="1847" t="s">
        <v>780</v>
      </c>
      <c r="BL5" s="1847" t="s">
        <v>766</v>
      </c>
      <c r="BM5" s="1847" t="s">
        <v>767</v>
      </c>
      <c r="BN5" s="1847" t="s">
        <v>795</v>
      </c>
      <c r="BO5" s="1847" t="s">
        <v>788</v>
      </c>
      <c r="BP5" s="1847" t="s">
        <v>439</v>
      </c>
      <c r="BQ5" s="1847" t="s">
        <v>789</v>
      </c>
      <c r="BR5" s="1847" t="s">
        <v>768</v>
      </c>
      <c r="BS5" s="1847" t="s">
        <v>718</v>
      </c>
      <c r="BT5" s="1874" t="s">
        <v>1048</v>
      </c>
    </row>
    <row r="6" spans="1:72" ht="21.75" customHeight="1">
      <c r="A6" s="1643"/>
      <c r="B6" s="298"/>
      <c r="C6" s="1884"/>
      <c r="D6" s="1848"/>
      <c r="E6" s="1848"/>
      <c r="F6" s="1886"/>
      <c r="G6" s="1848"/>
      <c r="H6" s="1848"/>
      <c r="I6" s="1848"/>
      <c r="J6" s="1848"/>
      <c r="K6" s="1848"/>
      <c r="L6" s="1848"/>
      <c r="M6" s="1848"/>
      <c r="N6" s="1848"/>
      <c r="O6" s="1878"/>
      <c r="P6" s="1848"/>
      <c r="Q6" s="1848"/>
      <c r="R6" s="1848"/>
      <c r="S6" s="1881"/>
      <c r="T6" s="1881"/>
      <c r="U6" s="1848"/>
      <c r="V6" s="1881"/>
      <c r="W6" s="1848"/>
      <c r="X6" s="1848"/>
      <c r="Y6" s="1860"/>
      <c r="Z6" s="1851"/>
      <c r="AA6" s="1854"/>
      <c r="AB6" s="1851"/>
      <c r="AC6" s="1851"/>
      <c r="AD6" s="1857"/>
      <c r="AE6" s="1857"/>
      <c r="AF6" s="1848"/>
      <c r="AG6" s="1848"/>
      <c r="AH6" s="1848"/>
      <c r="AI6" s="1848"/>
      <c r="AJ6" s="1848"/>
      <c r="AK6" s="1848"/>
      <c r="AL6" s="1848"/>
      <c r="AM6" s="1848"/>
      <c r="AN6" s="1848"/>
      <c r="AO6" s="1848"/>
      <c r="AP6" s="1848"/>
      <c r="AQ6" s="1848"/>
      <c r="AR6" s="1848"/>
      <c r="AS6" s="1848"/>
      <c r="AT6" s="1863"/>
      <c r="AU6" s="1848"/>
      <c r="AV6" s="1866"/>
      <c r="AW6" s="1869"/>
      <c r="AX6" s="1848"/>
      <c r="AY6" s="1848"/>
      <c r="AZ6" s="1872"/>
      <c r="BA6" s="1848"/>
      <c r="BB6" s="1866"/>
      <c r="BC6" s="1869"/>
      <c r="BD6" s="1848"/>
      <c r="BE6" s="1848"/>
      <c r="BF6" s="1848"/>
      <c r="BG6" s="1848"/>
      <c r="BH6" s="1848"/>
      <c r="BI6" s="1848"/>
      <c r="BJ6" s="1848"/>
      <c r="BK6" s="1848"/>
      <c r="BL6" s="1848"/>
      <c r="BM6" s="1848"/>
      <c r="BN6" s="1848"/>
      <c r="BO6" s="1848"/>
      <c r="BP6" s="1848"/>
      <c r="BQ6" s="1848"/>
      <c r="BR6" s="1848"/>
      <c r="BS6" s="1848"/>
      <c r="BT6" s="1875"/>
    </row>
    <row r="7" spans="1:72" ht="38.25" customHeight="1" thickBot="1">
      <c r="A7" s="1644"/>
      <c r="B7" s="299"/>
      <c r="C7" s="288" t="str">
        <f>Datos!A7</f>
        <v>COMPETENCIAS</v>
      </c>
      <c r="D7" s="1849"/>
      <c r="E7" s="1849"/>
      <c r="F7" s="1887"/>
      <c r="G7" s="1849"/>
      <c r="H7" s="1849"/>
      <c r="I7" s="1849"/>
      <c r="J7" s="1849"/>
      <c r="K7" s="1849"/>
      <c r="L7" s="1849"/>
      <c r="M7" s="1849"/>
      <c r="N7" s="1849"/>
      <c r="O7" s="1879"/>
      <c r="P7" s="1849"/>
      <c r="Q7" s="1849"/>
      <c r="R7" s="1849"/>
      <c r="S7" s="1882"/>
      <c r="T7" s="1882"/>
      <c r="U7" s="1849"/>
      <c r="V7" s="1882"/>
      <c r="W7" s="1849"/>
      <c r="X7" s="1849"/>
      <c r="Y7" s="1861"/>
      <c r="Z7" s="1852"/>
      <c r="AA7" s="1855"/>
      <c r="AB7" s="1852"/>
      <c r="AC7" s="1852"/>
      <c r="AD7" s="1858"/>
      <c r="AE7" s="1858"/>
      <c r="AF7" s="1849"/>
      <c r="AG7" s="1849"/>
      <c r="AH7" s="1849"/>
      <c r="AI7" s="1849"/>
      <c r="AJ7" s="1849"/>
      <c r="AK7" s="1849"/>
      <c r="AL7" s="1849"/>
      <c r="AM7" s="1849"/>
      <c r="AN7" s="1849"/>
      <c r="AO7" s="1849"/>
      <c r="AP7" s="1849"/>
      <c r="AQ7" s="1849"/>
      <c r="AR7" s="1849"/>
      <c r="AS7" s="1849"/>
      <c r="AT7" s="1864"/>
      <c r="AU7" s="1849"/>
      <c r="AV7" s="1867"/>
      <c r="AW7" s="1870"/>
      <c r="AX7" s="1849"/>
      <c r="AY7" s="1849"/>
      <c r="AZ7" s="1873"/>
      <c r="BA7" s="1849"/>
      <c r="BB7" s="1867"/>
      <c r="BC7" s="1870"/>
      <c r="BD7" s="1849"/>
      <c r="BE7" s="1849"/>
      <c r="BF7" s="1849"/>
      <c r="BG7" s="1849"/>
      <c r="BH7" s="1849"/>
      <c r="BI7" s="1849"/>
      <c r="BJ7" s="1849"/>
      <c r="BK7" s="1849"/>
      <c r="BL7" s="1849"/>
      <c r="BM7" s="1849"/>
      <c r="BN7" s="1849"/>
      <c r="BO7" s="1849"/>
      <c r="BP7" s="1849"/>
      <c r="BQ7" s="1849"/>
      <c r="BR7" s="1849"/>
      <c r="BS7" s="1849"/>
      <c r="BT7" s="1876"/>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0</v>
      </c>
      <c r="B9" s="749" t="s">
        <v>323</v>
      </c>
      <c r="C9" s="770" t="str">
        <f>Datos!A9</f>
        <v xml:space="preserve">Jdos. 1ª Instancia   </v>
      </c>
      <c r="D9" s="597"/>
      <c r="E9" s="553">
        <f>IF(ISNUMBER(Datos!AQ9),Datos!AQ9," - ")</f>
        <v>0</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t="str">
        <f>IF(ISNUMBER(Datos!Z9),Datos!Z9," - ")</f>
        <v xml:space="preserve"> - </v>
      </c>
      <c r="O9" s="553"/>
      <c r="P9" s="553"/>
      <c r="Q9" s="551">
        <f>IF(ISNUMBER(Datos!P9),Datos!P9,0)</f>
        <v>0</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t="str">
        <f>IF(ISNUMBER(Datos!Q9),Datos!Q9," - ")</f>
        <v xml:space="preserve"> - </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t="str">
        <f>IF(ISNUMBER(Datos!AB9),Datos!AB9,"-")</f>
        <v>-</v>
      </c>
      <c r="AI9" s="553" t="str">
        <f>IF(ISNUMBER(Datos!CD9),Datos!CD9,"-")</f>
        <v>-</v>
      </c>
      <c r="AJ9" s="553" t="str">
        <f>IF(ISNUMBER(Datos!EN9),Datos!EN9," - ")</f>
        <v xml:space="preserve"> - </v>
      </c>
      <c r="AK9" s="553"/>
      <c r="AL9" s="554"/>
      <c r="AM9" s="771" t="str">
        <f>IF(ISNUMBER(Datos!R9),Datos!R9," - ")</f>
        <v xml:space="preserve"> - </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t="str">
        <f>IF(ISNUMBER(Datos!M9),Datos!M9," - ")</f>
        <v xml:space="preserve"> - </v>
      </c>
      <c r="BD9" s="697" t="str">
        <f>IF(ISNUMBER(Datos!N9),Datos!N9," - ")</f>
        <v xml:space="preserve"> - </v>
      </c>
      <c r="BE9" s="697" t="str">
        <f>IF(ISNUMBER(Datos!BW9),Datos!BW9," - ")</f>
        <v xml:space="preserve"> - </v>
      </c>
      <c r="BF9" s="767" t="str">
        <f>IF(ISNUMBER(Datos!BX9),Datos!BX9," - ")</f>
        <v xml:space="preserve"> - </v>
      </c>
      <c r="BG9" s="768" t="str">
        <f>IF(ISNUMBER(IF(J_V="SI",Datos!K9/Datos!J9,(Datos!K9+Datos!AA9)/(Datos!J9+Datos!Z9))),IF(J_V="SI",Datos!K9/Datos!J9,(Datos!K9+Datos!AA9)/(Datos!J9+Datos!Z9))," - ")</f>
        <v xml:space="preserve"> - </v>
      </c>
      <c r="BH9" s="769" t="str">
        <f>IF(ISNUMBER(((IF(J_V="SI",Datos!L9/Datos!K9,(Datos!L9+Datos!AB9)/(Datos!K9+Datos!AA9)))*11)/factor_trimestre),((IF(J_V="SI",Datos!L9/Datos!K9,(Datos!L9+Datos!AB9)/(Datos!K9+Datos!AA9)))*11)/factor_trimestre," - ")</f>
        <v xml:space="preserve"> - </v>
      </c>
      <c r="BI9" s="768"/>
      <c r="BJ9" s="559" t="str">
        <f>IF(ISNUMBER(Datos!CI9/Datos!CJ9),Datos!CI9/Datos!CJ9," - ")</f>
        <v xml:space="preserve"> - </v>
      </c>
      <c r="BK9" s="753" t="str">
        <f>IF(ISNUMBER(Datos!CJ9),Datos!CJ9," - ")</f>
        <v xml:space="preserve"> - </v>
      </c>
      <c r="BL9" s="559" t="str">
        <f>IF(ISNUMBER((J9-AB9+L9)/(F9)),(J9-AB9+L9)/(F9)," - ")</f>
        <v xml:space="preserve"> - </v>
      </c>
      <c r="BM9" s="772" t="str">
        <f>IF(ISNUMBER((Datos!P9-Datos!Q9+Datos!DE9)/(Datos!R9-Datos!P9+Datos!Q9-Datos!DE9)),(Datos!P9-Datos!Q9+Datos!DE9)/(Datos!R9-Datos!P9+Datos!Q9-Datos!DE9)," - ")</f>
        <v xml:space="preserve"> - </v>
      </c>
      <c r="BN9" s="758"/>
      <c r="BO9" s="758"/>
      <c r="BP9" s="721" t="str">
        <f>IF(ISNUMBER(Datos!CW9),Datos!CW9," - ")</f>
        <v xml:space="preserve"> - </v>
      </c>
      <c r="BQ9" s="721"/>
      <c r="BR9" s="721">
        <f>Datos!CX9</f>
        <v>0</v>
      </c>
      <c r="BS9" s="561">
        <f>Datos!DU9</f>
        <v>0</v>
      </c>
      <c r="BT9" s="1476">
        <f>Datos!ER9/factor_trimestre</f>
        <v>1200</v>
      </c>
    </row>
    <row r="10" spans="1:72" s="582" customFormat="1" ht="14.25">
      <c r="A10" s="749">
        <f>Datos!AO10</f>
        <v>1</v>
      </c>
      <c r="B10" s="750" t="s">
        <v>323</v>
      </c>
      <c r="C10" s="751" t="str">
        <f>Datos!A10</f>
        <v>Jdos. Violencia contra la mujer</v>
      </c>
      <c r="D10" s="605"/>
      <c r="E10" s="553">
        <f>IF(ISNUMBER(Datos!AQ10),Datos!AQ10," - ")</f>
        <v>0</v>
      </c>
      <c r="F10" s="556">
        <f>IF(ISNUMBER(Datos!L10+Datos!K10-Datos!J10),Datos!L10+Datos!K10-Datos!J10," - ")</f>
        <v>76</v>
      </c>
      <c r="G10" s="547">
        <f>IF(ISNUMBER(Datos!I10),Datos!I10," - ")</f>
        <v>76</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2</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25</v>
      </c>
      <c r="AC10" s="551">
        <f>IF(ISNUMBER(Datos!Q10),Datos!Q10," - ")</f>
        <v>1</v>
      </c>
      <c r="AD10" s="553"/>
      <c r="AE10" s="567"/>
      <c r="AF10" s="555">
        <f>IF(ISNUMBER(Datos!L10),Datos!L10,"-")</f>
        <v>111</v>
      </c>
      <c r="AG10" s="553"/>
      <c r="AH10" s="553"/>
      <c r="AI10" s="553"/>
      <c r="AJ10" s="553"/>
      <c r="AK10" s="553"/>
      <c r="AL10" s="554"/>
      <c r="AM10" s="771">
        <f>IF(ISNUMBER(Datos!R10),Datos!R10," - ")</f>
        <v>41</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10</v>
      </c>
      <c r="BD10" s="697">
        <f>IF(ISNUMBER(Datos!N10),Datos!N10," - ")</f>
        <v>6</v>
      </c>
      <c r="BE10" s="697" t="str">
        <f>IF(ISNUMBER(Datos!BW10),Datos!BW10," - ")</f>
        <v xml:space="preserve"> - </v>
      </c>
      <c r="BF10" s="767" t="str">
        <f>IF(ISNUMBER(Datos!BX10),Datos!BX10," - ")</f>
        <v xml:space="preserve"> - </v>
      </c>
      <c r="BG10" s="768">
        <f>IF(ISNUMBER(Datos!K10/Datos!J10),Datos!K10/Datos!J10," - ")</f>
        <v>0.41666666666666669</v>
      </c>
      <c r="BH10" s="769">
        <f>IF(ISNUMBER(((Datos!L10/Datos!K10)*11)/factor_trimestre),((Datos!L10/Datos!K10)*11)/factor_trimestre," - ")</f>
        <v>48.84</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f>IF(ISNUMBER((Datos!P10-Datos!Q10+Datos!DE10)/(Datos!R10-Datos!P10+Datos!Q10-Datos!DE10)),(Datos!P10-Datos!Q10+Datos!DE10)/(Datos!R10-Datos!P10+Datos!Q10-Datos!DE10)," - ")</f>
        <v>2.5000000000000001E-2</v>
      </c>
      <c r="BN10" s="758"/>
      <c r="BO10" s="758"/>
      <c r="BP10" s="721" t="str">
        <f>IF(ISNUMBER(Datos!CW10),Datos!CW10," - ")</f>
        <v xml:space="preserve"> - </v>
      </c>
      <c r="BQ10" s="721"/>
      <c r="BR10" s="721">
        <f>Datos!CX10</f>
        <v>0</v>
      </c>
      <c r="BS10" s="561">
        <f>Datos!DU10</f>
        <v>0</v>
      </c>
      <c r="BT10" s="1476">
        <f>Datos!ER10/factor_trimestre</f>
        <v>1600</v>
      </c>
    </row>
    <row r="11" spans="1:72" s="582" customFormat="1" ht="14.25">
      <c r="A11" s="749">
        <f>Datos!AO11</f>
        <v>0</v>
      </c>
      <c r="B11" s="750" t="s">
        <v>323</v>
      </c>
      <c r="C11" s="751" t="str">
        <f>Datos!A11</f>
        <v xml:space="preserve">Jdos. Familia                                   </v>
      </c>
      <c r="D11" s="605"/>
      <c r="E11" s="553">
        <f>IF(ISNUMBER(Datos!AQ11),Datos!AQ11," - ")</f>
        <v>0</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t="str">
        <f>IF(ISNUMBER(Datos!Z11),Datos!Z11," - ")</f>
        <v xml:space="preserve"> - </v>
      </c>
      <c r="O11" s="553"/>
      <c r="P11" s="553"/>
      <c r="Q11" s="551">
        <f>IF(ISNUMBER(Datos!P11),Datos!P11,0)</f>
        <v>0</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t="str">
        <f>IF(ISNUMBER(Datos!Q11),Datos!Q11," - ")</f>
        <v xml:space="preserve"> - </v>
      </c>
      <c r="AD11" s="553"/>
      <c r="AE11" s="567"/>
      <c r="AF11" s="555" t="str">
        <f>IF(ISNUMBER(IF(J_V="SI",Datos!L11,Datos!L11+Datos!AB11)-IF(Monitorios="SI",Datos!CD11,0)),
                          IF(J_V="SI",Datos!L11,Datos!L11+Datos!AB11)-IF(Monitorios="SI",Datos!CD11,0),
                          " - ")</f>
        <v xml:space="preserve"> - </v>
      </c>
      <c r="AG11" s="553"/>
      <c r="AH11" s="553" t="str">
        <f>IF(ISNUMBER(Datos!AB11),Datos!AB11,"-")</f>
        <v>-</v>
      </c>
      <c r="AI11" s="553"/>
      <c r="AJ11" s="553"/>
      <c r="AK11" s="553"/>
      <c r="AL11" s="554"/>
      <c r="AM11" s="771" t="str">
        <f>IF(ISNUMBER(Datos!R11),Datos!R11," - ")</f>
        <v xml:space="preserve"> - </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t="str">
        <f>IF(ISNUMBER(Datos!M11),Datos!M11," - ")</f>
        <v xml:space="preserve"> - </v>
      </c>
      <c r="BD11" s="697" t="str">
        <f>IF(ISNUMBER(Datos!N11),Datos!N11," - ")</f>
        <v xml:space="preserve"> - </v>
      </c>
      <c r="BE11" s="697" t="str">
        <f>IF(ISNUMBER(Datos!BW11),Datos!BW11," - ")</f>
        <v xml:space="preserve"> - </v>
      </c>
      <c r="BF11" s="767" t="str">
        <f>IF(ISNUMBER(Datos!BX11),Datos!BX11," - ")</f>
        <v xml:space="preserve"> - </v>
      </c>
      <c r="BG11" s="768" t="str">
        <f>IF(ISNUMBER(IF(J_V="SI",Datos!K11/Datos!J11,(Datos!K11+Datos!AA11)/(Datos!J11+Datos!Z11))),IF(J_V="SI",Datos!K11/Datos!J11,(Datos!K11+Datos!AA11)/(Datos!J11+Datos!Z11))," - ")</f>
        <v xml:space="preserve"> - </v>
      </c>
      <c r="BH11" s="769" t="str">
        <f>IF(ISNUMBER(((IF(J_V="SI",Datos!L11/Datos!K11,(Datos!L11+Datos!AB11)/(Datos!K11+Datos!AA11)))*11)/factor_trimestre),((IF(J_V="SI",Datos!L11/Datos!K11,(Datos!L11+Datos!AB11)/(Datos!K11+Datos!AA11)))*11)/factor_trimestre," - ")</f>
        <v xml:space="preserve"> - </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t="str">
        <f>IF(ISNUMBER((Datos!P11-Datos!Q11+Datos!DE11)/(Datos!R11-Datos!P11+Datos!Q11-Datos!DE11)),(Datos!P11-Datos!Q11+Datos!DE11)/(Datos!R11-Datos!P11+Datos!Q11-Datos!DE11)," - ")</f>
        <v xml:space="preserve"> - </v>
      </c>
      <c r="BN11" s="758"/>
      <c r="BO11" s="758"/>
      <c r="BP11" s="721" t="str">
        <f>IF(ISNUMBER(Datos!CW11),Datos!CW11," - ")</f>
        <v xml:space="preserve"> - </v>
      </c>
      <c r="BQ11" s="721"/>
      <c r="BR11" s="721">
        <f>Datos!CX11</f>
        <v>0</v>
      </c>
      <c r="BS11" s="561">
        <f>Datos!DU11</f>
        <v>0</v>
      </c>
      <c r="BT11" s="1476">
        <f>Datos!ER11/factor_trimestre</f>
        <v>1323</v>
      </c>
    </row>
    <row r="12" spans="1:72" s="582" customFormat="1" ht="14.25">
      <c r="A12" s="749">
        <f>Datos!AO12</f>
        <v>9</v>
      </c>
      <c r="B12" s="750" t="s">
        <v>323</v>
      </c>
      <c r="C12" s="751" t="str">
        <f>Datos!A12</f>
        <v xml:space="preserve">Jdos. 1ª Instª. e Instr.                        </v>
      </c>
      <c r="D12" s="605"/>
      <c r="E12" s="553">
        <f>IF(ISNUMBER(Datos!AQ12),Datos!AQ12," - ")</f>
        <v>9</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f>IF(ISNUMBER(Datos!Z12),Datos!Z12," - ")</f>
        <v>372</v>
      </c>
      <c r="O12" s="553"/>
      <c r="P12" s="553"/>
      <c r="Q12" s="551">
        <f>IF(ISNUMBER(Datos!P12),Datos!P12,0)</f>
        <v>1707</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f>IF(ISNUMBER(Datos!Q12),Datos!Q12," - ")</f>
        <v>1741</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f>IF(ISNUMBER(Datos!AB12),Datos!AB12,"-")</f>
        <v>168</v>
      </c>
      <c r="AI12" s="553" t="str">
        <f>IF(ISNUMBER(Datos!CD12),Datos!CD12,"-")</f>
        <v>-</v>
      </c>
      <c r="AJ12" s="553" t="str">
        <f>IF(ISNUMBER(Datos!EN12),Datos!EN12," - ")</f>
        <v xml:space="preserve"> - </v>
      </c>
      <c r="AK12" s="553"/>
      <c r="AL12" s="554"/>
      <c r="AM12" s="771">
        <f>IF(ISNUMBER(Datos!R12),Datos!R12," - ")</f>
        <v>9731</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f>IF(ISNUMBER(Datos!M12),Datos!M12," - ")</f>
        <v>1431</v>
      </c>
      <c r="BD12" s="697">
        <f>IF(ISNUMBER(Datos!N12),Datos!N12," - ")</f>
        <v>1952</v>
      </c>
      <c r="BE12" s="697" t="str">
        <f>IF(ISNUMBER(Datos!BW12),Datos!BW12," - ")</f>
        <v xml:space="preserve"> - </v>
      </c>
      <c r="BF12" s="767" t="str">
        <f>IF(ISNUMBER(Datos!BX12),Datos!BX12," - ")</f>
        <v xml:space="preserve"> - </v>
      </c>
      <c r="BG12" s="768">
        <f>IF(ISNUMBER(IF(J_V="SI",Datos!K12/Datos!J12,(Datos!K12+Datos!AA12)/(Datos!J12+Datos!Z12))),IF(J_V="SI",Datos!K12/Datos!J12,(Datos!K12+Datos!AA12)/(Datos!J12+Datos!Z12))," - ")</f>
        <v>0.79857201702595082</v>
      </c>
      <c r="BH12" s="769">
        <f>IF(ISNUMBER(((IF(J_V="SI",Datos!L12/Datos!K12,(Datos!L12+Datos!AB12)/(Datos!K12+Datos!AA12)))*11)/factor_trimestre),((IF(J_V="SI",Datos!L12/Datos!K12,(Datos!L12+Datos!AB12)/(Datos!K12+Datos!AA12)))*11)/factor_trimestre," - ")</f>
        <v>15.512723521320495</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f>IF(ISNUMBER((Datos!P12-Datos!Q12+Datos!DE12)/(Datos!R12-Datos!P12+Datos!Q12-Datos!DE12)),(Datos!P12-Datos!Q12+Datos!DE12)/(Datos!R12-Datos!P12+Datos!Q12-Datos!DE12)," - ")</f>
        <v>-3.4818228366615463E-3</v>
      </c>
      <c r="BN12" s="758"/>
      <c r="BO12" s="758"/>
      <c r="BP12" s="721" t="str">
        <f>IF(ISNUMBER(Datos!CW12),Datos!CW12," - ")</f>
        <v xml:space="preserve"> - </v>
      </c>
      <c r="BQ12" s="721"/>
      <c r="BR12" s="721">
        <f>Datos!CX12</f>
        <v>0</v>
      </c>
      <c r="BS12" s="561">
        <f>Datos!DU12</f>
        <v>0</v>
      </c>
      <c r="BT12" s="1476">
        <f>Datos!ER12/factor_trimestre</f>
        <v>680</v>
      </c>
    </row>
    <row r="13" spans="1:72" s="582" customFormat="1" ht="15" thickBot="1">
      <c r="A13" s="749">
        <f>Datos!AO13</f>
        <v>0</v>
      </c>
      <c r="B13" s="750" t="s">
        <v>323</v>
      </c>
      <c r="C13" s="751" t="str">
        <f>Datos!A13</f>
        <v xml:space="preserve">Jdos. de Menores    </v>
      </c>
      <c r="D13" s="605"/>
      <c r="E13" s="553">
        <f>IF(ISNUMBER(Datos!AQ13),Datos!AQ13," - ")</f>
        <v>0</v>
      </c>
      <c r="F13" s="556" t="str">
        <f>IF(ISNUMBER(Datos!L13+Datos!K13-Datos!J13-L13),Datos!L13+Datos!K13-Datos!J13-L13," - ")</f>
        <v xml:space="preserve"> - </v>
      </c>
      <c r="G13" s="547" t="str">
        <f>IF(ISNUMBER(Datos!I13),Datos!I13," - ")</f>
        <v xml:space="preserve"> - </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t="str">
        <f>IF(ISNUMBER(Datos!K13),Datos!K13," - ")</f>
        <v xml:space="preserve"> - </v>
      </c>
      <c r="AC13" s="551" t="str">
        <f>IF(ISNUMBER(Datos!Q13),Datos!Q13," - ")</f>
        <v xml:space="preserve"> - </v>
      </c>
      <c r="AD13" s="553"/>
      <c r="AE13" s="567"/>
      <c r="AF13" s="555" t="str">
        <f>IF(ISNUMBER(Datos!L13),Datos!L13,"-")</f>
        <v>-</v>
      </c>
      <c r="AG13" s="553"/>
      <c r="AH13" s="553"/>
      <c r="AI13" s="553"/>
      <c r="AJ13" s="553"/>
      <c r="AK13" s="553"/>
      <c r="AL13" s="554"/>
      <c r="AM13" s="771" t="str">
        <f>IF(ISNUMBER(Datos!R13),Datos!R13," - ")</f>
        <v xml:space="preserve"> - </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t="str">
        <f>IF(ISNUMBER(Datos!M13),Datos!M13," - ")</f>
        <v xml:space="preserve"> - </v>
      </c>
      <c r="BD13" s="697" t="str">
        <f>IF(ISNUMBER(Datos!N13),Datos!N13," - ")</f>
        <v xml:space="preserve"> - </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875</v>
      </c>
    </row>
    <row r="14" spans="1:72" ht="15.75" thickTop="1" thickBot="1">
      <c r="A14" s="191"/>
      <c r="B14" s="191"/>
      <c r="C14" s="1163" t="str">
        <f>Datos!A14</f>
        <v>TOTAL</v>
      </c>
      <c r="D14" s="1199"/>
      <c r="E14" s="1199">
        <f t="shared" ref="E14:Z14" si="1">SUBTOTAL(9,E8:E13)</f>
        <v>9</v>
      </c>
      <c r="F14" s="1200">
        <f t="shared" si="1"/>
        <v>76</v>
      </c>
      <c r="G14" s="1200">
        <f t="shared" si="1"/>
        <v>76</v>
      </c>
      <c r="H14" s="1201">
        <f t="shared" si="1"/>
        <v>0</v>
      </c>
      <c r="I14" s="1200">
        <f t="shared" si="1"/>
        <v>0</v>
      </c>
      <c r="J14" s="1167">
        <f t="shared" si="1"/>
        <v>0</v>
      </c>
      <c r="K14" s="1167">
        <f t="shared" si="1"/>
        <v>0</v>
      </c>
      <c r="L14" s="1201">
        <f t="shared" si="1"/>
        <v>0</v>
      </c>
      <c r="M14" s="1201">
        <f t="shared" si="1"/>
        <v>0</v>
      </c>
      <c r="N14" s="1201">
        <f t="shared" si="1"/>
        <v>372</v>
      </c>
      <c r="O14" s="1202">
        <f t="shared" si="1"/>
        <v>0</v>
      </c>
      <c r="P14" s="1202">
        <f t="shared" si="1"/>
        <v>0</v>
      </c>
      <c r="Q14" s="1201">
        <f t="shared" si="1"/>
        <v>1709</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25</v>
      </c>
      <c r="AC14" s="1201">
        <f t="shared" si="2"/>
        <v>1742</v>
      </c>
      <c r="AD14" s="1201">
        <f t="shared" si="2"/>
        <v>0</v>
      </c>
      <c r="AE14" s="1201">
        <f t="shared" si="2"/>
        <v>0</v>
      </c>
      <c r="AF14" s="1201">
        <f t="shared" si="2"/>
        <v>111</v>
      </c>
      <c r="AG14" s="1201">
        <f t="shared" si="2"/>
        <v>0</v>
      </c>
      <c r="AH14" s="1201">
        <f t="shared" si="2"/>
        <v>168</v>
      </c>
      <c r="AI14" s="1201">
        <f t="shared" si="2"/>
        <v>0</v>
      </c>
      <c r="AJ14" s="1201">
        <f t="shared" si="2"/>
        <v>0</v>
      </c>
      <c r="AK14" s="1201">
        <f t="shared" si="2"/>
        <v>0</v>
      </c>
      <c r="AL14" s="1201">
        <f t="shared" si="2"/>
        <v>0</v>
      </c>
      <c r="AM14" s="1201">
        <f t="shared" si="2"/>
        <v>9772</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1441</v>
      </c>
      <c r="BD14" s="1201">
        <f t="shared" si="2"/>
        <v>1958</v>
      </c>
      <c r="BE14" s="1201">
        <f t="shared" si="2"/>
        <v>0</v>
      </c>
      <c r="BF14" s="1201">
        <f t="shared" si="2"/>
        <v>0</v>
      </c>
      <c r="BG14" s="1201">
        <f>IF(ISNUMBER(Datos!K14/Datos!J14),Datos!K14/Datos!J14," - ")</f>
        <v>0.78539664323626457</v>
      </c>
      <c r="BH14" s="1205">
        <f>IF(ISNUMBER(((Datos!L14/Datos!K14)*11)/factor_trimestre),((Datos!L14/Datos!K14)*11)/factor_trimestre," - ")</f>
        <v>16.364383561643834</v>
      </c>
      <c r="BI14" s="1201">
        <f>IF(ISNUMBER('Resol  Asuntos'!D14/NºAsuntos!G14),'Resol  Asuntos'!D14/NºAsuntos!G14," - ")</f>
        <v>0.24670433145009416</v>
      </c>
      <c r="BJ14" s="1201" t="str">
        <f>IF(ISNUMBER(Datos!CI14/Datos!CJ14),Datos!CI14/Datos!CJ14," - ")</f>
        <v xml:space="preserve"> - </v>
      </c>
      <c r="BK14" s="1201">
        <f>SUBTOTAL(9,BK8:BK13)</f>
        <v>0</v>
      </c>
      <c r="BL14" s="1201">
        <f>IF(ISNUMBER((I14-AB14+L14)/(F14)),(I14-AB14+L14)/(F14)," - ")</f>
        <v>-0.32894736842105265</v>
      </c>
      <c r="BM14" s="1206">
        <f>SUBTOTAL(9,BM9:BM13)</f>
        <v>2.1518177163338453E-2</v>
      </c>
      <c r="BN14" s="1201">
        <f t="shared" ref="BN14:BT14" si="3">SUBTOTAL(9,BN8:BN13)</f>
        <v>0</v>
      </c>
      <c r="BO14" s="1201">
        <f t="shared" si="3"/>
        <v>0</v>
      </c>
      <c r="BP14" s="1201">
        <f t="shared" si="3"/>
        <v>0</v>
      </c>
      <c r="BQ14" s="1201">
        <f t="shared" si="3"/>
        <v>0</v>
      </c>
      <c r="BR14" s="1201">
        <f t="shared" si="3"/>
        <v>0</v>
      </c>
      <c r="BS14" s="1201">
        <f t="shared" si="3"/>
        <v>0</v>
      </c>
      <c r="BT14" s="1215">
        <f t="shared" si="3"/>
        <v>5678</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0</v>
      </c>
      <c r="B16" s="741" t="s">
        <v>514</v>
      </c>
      <c r="C16" s="754" t="str">
        <f>Datos!A16</f>
        <v xml:space="preserve">Jdos. Instrucción                               </v>
      </c>
      <c r="D16" s="755"/>
      <c r="E16" s="746">
        <f>IF(ISNUMBER(Datos!AQ16),Datos!AQ16," - ")</f>
        <v>0</v>
      </c>
      <c r="F16" s="744" t="str">
        <f>IF(ISNUMBER(AF16+AB16-Datos!J16-L16),AF16+AB16-Datos!J16-L16," - ")</f>
        <v xml:space="preserve"> - </v>
      </c>
      <c r="G16" s="747" t="str">
        <f>IF(ISNUMBER(IF(D_I="SI",Datos!I16,Datos!I16+Datos!AC16)),IF(D_I="SI",Datos!I16,Datos!I16+Datos!AC16)," - ")</f>
        <v xml:space="preserve"> - </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0</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6"/>
      <c r="AF16" s="745" t="str">
        <f>IF(ISNUMBER(IF(D_I="SI",Datos!L16,Datos!L16+Datos!AF16)),IF(D_I="SI",Datos!L16,Datos!L16+Datos!AF16)," - ")</f>
        <v xml:space="preserve"> - </v>
      </c>
      <c r="AG16" s="374"/>
      <c r="AH16" s="374"/>
      <c r="AI16" s="374"/>
      <c r="AJ16" s="553"/>
      <c r="AK16" s="374"/>
      <c r="AL16" s="549"/>
      <c r="AM16" s="375" t="str">
        <f>IF(ISNUMBER(Datos!R16),Datos!R16," - ")</f>
        <v xml:space="preserve"> - </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8" t="str">
        <f>IF(ISNUMBER(IF(D_I="SI",Datos!K16/Datos!J16,(Datos!K16+Datos!AE16)/(Datos!J16+Datos!AD16))),IF(D_I="SI",Datos!K16/Datos!J16,(Datos!K16+Datos!AE16)/(Datos!J16+Datos!AD16))," - ")</f>
        <v xml:space="preserve"> - </v>
      </c>
      <c r="BH16" s="769"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3300</v>
      </c>
    </row>
    <row r="17" spans="1:72" s="748" customFormat="1" ht="14.25">
      <c r="A17" s="740">
        <f>Datos!AO17</f>
        <v>9</v>
      </c>
      <c r="B17" s="741" t="s">
        <v>514</v>
      </c>
      <c r="C17" s="754" t="str">
        <f>Datos!A17</f>
        <v xml:space="preserve">Jdos. 1ª Instª. e Instr.                        </v>
      </c>
      <c r="D17" s="755"/>
      <c r="E17" s="746">
        <f>IF(ISNUMBER(Datos!AQ17),Datos!AQ17," - ")</f>
        <v>9</v>
      </c>
      <c r="F17" s="744">
        <f>IF(ISNUMBER(AF17+AB17-Datos!J17-L17),AF17+AB17-Datos!J17-L17," - ")</f>
        <v>2707</v>
      </c>
      <c r="G17" s="747">
        <f>IF(ISNUMBER(IF(D_I="SI",Datos!I17,Datos!I17+Datos!AC17)),IF(D_I="SI",Datos!I17,Datos!I17+Datos!AC17)," - ")</f>
        <v>3086</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348</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f>IF(ISNUMBER(IF(D_I="SI",Datos!K17,Datos!K17+Datos!AE17)),IF(D_I="SI",Datos!K17,Datos!K17+Datos!AE17)," - ")</f>
        <v>7449</v>
      </c>
      <c r="AC17" s="240">
        <f>IF(ISNUMBER(Datos!Q17),Datos!Q17," - ")</f>
        <v>252</v>
      </c>
      <c r="AD17" s="374"/>
      <c r="AE17" s="566"/>
      <c r="AF17" s="745">
        <f>IF(ISNUMBER(IF(D_I="SI",Datos!L17,Datos!L17+Datos!AF17)),IF(D_I="SI",Datos!L17,Datos!L17+Datos!AF17)," - ")</f>
        <v>3639</v>
      </c>
      <c r="AG17" s="374"/>
      <c r="AH17" s="374"/>
      <c r="AI17" s="374"/>
      <c r="AJ17" s="553"/>
      <c r="AK17" s="374"/>
      <c r="AL17" s="549"/>
      <c r="AM17" s="375">
        <f>IF(ISNUMBER(Datos!R17),Datos!R17," - ")</f>
        <v>428</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1024</v>
      </c>
      <c r="BD17" s="243">
        <f>IF(ISNUMBER(Datos!N17),Datos!N17," - ")</f>
        <v>4297</v>
      </c>
      <c r="BE17" s="243" t="str">
        <f>IF(ISNUMBER(Datos!BW17),Datos!BW17," - ")</f>
        <v xml:space="preserve"> - </v>
      </c>
      <c r="BF17" s="242" t="str">
        <f>IF(ISNUMBER(Datos!BX17),Datos!BX17," - ")</f>
        <v xml:space="preserve"> - </v>
      </c>
      <c r="BG17" s="768">
        <f>IF(ISNUMBER(IF(D_I="SI",Datos!K17/Datos!J17,(Datos!K17+Datos!AE17)/(Datos!J17+Datos!AD17))),IF(D_I="SI",Datos!K17/Datos!J17,(Datos!K17+Datos!AE17)/(Datos!J17+Datos!AD17))," - ")</f>
        <v>0.88879608638587282</v>
      </c>
      <c r="BH17" s="769">
        <f>IF(ISNUMBER(((IF(D_I="SI",Datos!L17/Datos!K17,(Datos!L17+Datos!AF17)/(Datos!K17+Datos!AE17)))*11)/factor_trimestre),((IF(D_I="SI",Datos!L17/Datos!K17,(Datos!L17+Datos!AF17)/(Datos!K17+Datos!AE17)))*11)/factor_trimestre," - ")</f>
        <v>5.3737414418042686</v>
      </c>
      <c r="BI17" s="266">
        <f>IF(ISNUMBER('Resol  Asuntos'!D17/NºAsuntos!G17),'Resol  Asuntos'!D17/NºAsuntos!G17," - ")</f>
        <v>0.13746811652570814</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1000</v>
      </c>
    </row>
    <row r="18" spans="1:72" s="582" customFormat="1" ht="14.25">
      <c r="A18" s="749">
        <f>Datos!AO18</f>
        <v>1</v>
      </c>
      <c r="B18" s="750" t="s">
        <v>514</v>
      </c>
      <c r="C18" s="751" t="str">
        <f>Datos!A18</f>
        <v>Jdos. Violencia contra la mujer</v>
      </c>
      <c r="D18" s="605"/>
      <c r="E18" s="721">
        <f>IF(ISNUMBER(Datos!AQ18),Datos!AQ18," - ")</f>
        <v>0</v>
      </c>
      <c r="F18" s="556" t="str">
        <f>IF(ISNUMBER(AF18+AB18-I18-L18),AF18+AB18-I18-L18," - ")</f>
        <v xml:space="preserve"> - </v>
      </c>
      <c r="G18" s="547">
        <f>IF(ISNUMBER(IF(D_I="SI",Datos!I18,Datos!I18+Datos!AC18)),IF(D_I="SI",Datos!I18,Datos!I18+Datos!AC18)," - ")</f>
        <v>253</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0</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375</v>
      </c>
      <c r="AC18" s="551">
        <f>IF(ISNUMBER(Datos!Q18),Datos!Q18," - ")</f>
        <v>0</v>
      </c>
      <c r="AD18" s="553"/>
      <c r="AE18" s="566"/>
      <c r="AF18" s="555">
        <f>IF(ISNUMBER(Datos!L18),Datos!L18,"-")</f>
        <v>256</v>
      </c>
      <c r="AG18" s="553"/>
      <c r="AH18" s="553"/>
      <c r="AI18" s="553"/>
      <c r="AJ18" s="553"/>
      <c r="AK18" s="553"/>
      <c r="AL18" s="554"/>
      <c r="AM18" s="771">
        <f>IF(ISNUMBER(Datos!R18),Datos!R18," - ")</f>
        <v>3</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11</v>
      </c>
      <c r="BD18" s="697">
        <f>IF(ISNUMBER(Datos!N18),Datos!N18," - ")</f>
        <v>115</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0.71564885496183206</v>
      </c>
      <c r="BH18" s="769">
        <f>IF(ISNUMBER(((IF(D_I="SI",Datos!L18/Datos!K18,(Datos!L18+Datos!AF18)/(Datos!K18+Datos!AE18)))*11)/factor_trimestre),((IF(D_I="SI",Datos!L18/Datos!K18,(Datos!L18+Datos!AF18)/(Datos!K18+Datos!AE18)))*11)/factor_trimestre," - ")</f>
        <v>7.5093333333333332</v>
      </c>
      <c r="BI18" s="768">
        <f>IF(ISNUMBER('Resol  Asuntos'!D18/NºAsuntos!G18),'Resol  Asuntos'!D18/NºAsuntos!G18," - ")</f>
        <v>2.9333333333333333E-2</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1600</v>
      </c>
    </row>
    <row r="19" spans="1:72" s="582" customFormat="1" ht="14.25">
      <c r="A19" s="749">
        <f>Datos!AO19</f>
        <v>0</v>
      </c>
      <c r="B19" s="750" t="s">
        <v>514</v>
      </c>
      <c r="C19" s="751" t="str">
        <f>Datos!A19</f>
        <v xml:space="preserve">Jdos. de Menores                                </v>
      </c>
      <c r="D19" s="605"/>
      <c r="E19" s="721">
        <f>IF(ISNUMBER(Datos!AQ19),Datos!AQ19," - ")</f>
        <v>0</v>
      </c>
      <c r="F19" s="556" t="str">
        <f>IF(ISNUMBER(Datos!L19+Datos!K19-Datos!J19),Datos!L19+Datos!K19-Datos!J19," - ")</f>
        <v xml:space="preserve"> - </v>
      </c>
      <c r="G19" s="547" t="str">
        <f>IF(ISNUMBER(Datos!I19),Datos!I19," - ")</f>
        <v xml:space="preserve"> - </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0</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t="str">
        <f>IF(ISNUMBER(Datos!K19),Datos!K19," - ")</f>
        <v xml:space="preserve"> - </v>
      </c>
      <c r="AC19" s="551" t="str">
        <f>IF(ISNUMBER(Datos!Q19),Datos!Q19," - ")</f>
        <v xml:space="preserve"> - </v>
      </c>
      <c r="AD19" s="553"/>
      <c r="AE19" s="567"/>
      <c r="AF19" s="555" t="str">
        <f>IF(ISNUMBER(Datos!L19),Datos!L19,"-")</f>
        <v>-</v>
      </c>
      <c r="AG19" s="553"/>
      <c r="AH19" s="553"/>
      <c r="AI19" s="553"/>
      <c r="AJ19" s="553"/>
      <c r="AK19" s="553"/>
      <c r="AL19" s="554"/>
      <c r="AM19" s="771" t="str">
        <f>IF(ISNUMBER(Datos!R19),Datos!R19," - ")</f>
        <v xml:space="preserve"> - </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t="str">
        <f>IF(ISNUMBER(Datos!M19),Datos!M19," - ")</f>
        <v xml:space="preserve"> - </v>
      </c>
      <c r="BD19" s="697"/>
      <c r="BE19" s="697"/>
      <c r="BF19" s="767"/>
      <c r="BG19" s="768" t="str">
        <f>IF(ISNUMBER(Datos!K19/Datos!J19),Datos!K19/Datos!J19," - ")</f>
        <v xml:space="preserve"> - </v>
      </c>
      <c r="BH19" s="769" t="str">
        <f>IF(ISNUMBER(((Datos!L19/Datos!K19)*11)/factor_trimestre),((Datos!L19/Datos!K19)*11)/factor_trimestre," - ")</f>
        <v xml:space="preserve"> - </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875</v>
      </c>
    </row>
    <row r="20" spans="1:72" s="748" customFormat="1" ht="14.25">
      <c r="A20" s="740">
        <f>Datos!AO20</f>
        <v>0</v>
      </c>
      <c r="B20" s="741" t="s">
        <v>514</v>
      </c>
      <c r="C20" s="742" t="str">
        <f>Datos!A20</f>
        <v xml:space="preserve">Jdos. Vigilancia Penitenciaria                  </v>
      </c>
      <c r="D20" s="743"/>
      <c r="E20" s="746">
        <f>IF(ISNUMBER(Datos!AQ20),Datos!AQ20," - ")</f>
        <v>0</v>
      </c>
      <c r="F20" s="556" t="str">
        <f>IF(ISNUMBER(Datos!L20+Datos!K20-Datos!J20-L20),Datos!L20+Datos!K20-Datos!J20-L20," - ")</f>
        <v xml:space="preserve"> - </v>
      </c>
      <c r="G20" s="747" t="str">
        <f>IF(ISNUMBER(Datos!I20),Datos!I20," - ")</f>
        <v xml:space="preserve"> - </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t="str">
        <f>IF(ISNUMBER(Datos!K20),Datos!K20," - ")</f>
        <v xml:space="preserve"> - </v>
      </c>
      <c r="AC20" s="551" t="str">
        <f>IF(ISNUMBER(Datos!Q20),Datos!Q20," - ")</f>
        <v xml:space="preserve"> - </v>
      </c>
      <c r="AD20" s="374"/>
      <c r="AE20" s="566"/>
      <c r="AF20" s="745" t="str">
        <f>IF(ISNUMBER(Datos!L20),Datos!L20,"-")</f>
        <v>-</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8" t="str">
        <f>IF(ISNUMBER(Datos!K20/Datos!J20),Datos!K20/Datos!J20," - ")</f>
        <v xml:space="preserve"> - </v>
      </c>
      <c r="BH20" s="769" t="str">
        <f>IF(ISNUMBER(((Datos!L20/Datos!K20)*11)/factor_trimestre),((Datos!L20/Datos!K20)*11)/factor_trimestre," - ")</f>
        <v xml:space="preserve"> - </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5240</v>
      </c>
    </row>
    <row r="21" spans="1:72" s="582" customFormat="1" ht="14.25">
      <c r="A21" s="749">
        <f>Datos!AO21</f>
        <v>4</v>
      </c>
      <c r="B21" s="750" t="s">
        <v>514</v>
      </c>
      <c r="C21" s="751" t="str">
        <f>Datos!A21</f>
        <v xml:space="preserve">Jdos. de lo Penal                               </v>
      </c>
      <c r="D21" s="605"/>
      <c r="E21" s="721">
        <f>IF(ISNUMBER(Datos!AQ21),Datos!AQ21," - ")</f>
        <v>4</v>
      </c>
      <c r="F21" s="556">
        <f>IF(ISNUMBER(Datos!L21+Datos!K21-Datos!J21),Datos!L21+Datos!K21-Datos!J21," - ")</f>
        <v>2408</v>
      </c>
      <c r="G21" s="547">
        <f>IF(ISNUMBER(Datos!I21),Datos!I21," - ")</f>
        <v>2408</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2150</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f>IF(ISNUMBER(Datos!K21),Datos!K21," - ")</f>
        <v>1978</v>
      </c>
      <c r="AC21" s="551">
        <f>IF(ISNUMBER(Datos!Q21),Datos!Q21," - ")</f>
        <v>2910</v>
      </c>
      <c r="AD21" s="553"/>
      <c r="AE21" s="567"/>
      <c r="AF21" s="555">
        <f>IF(ISNUMBER(Datos!L21),Datos!L21,"-")</f>
        <v>2323</v>
      </c>
      <c r="AG21" s="553"/>
      <c r="AH21" s="553"/>
      <c r="AI21" s="553"/>
      <c r="AJ21" s="553"/>
      <c r="AK21" s="553"/>
      <c r="AL21" s="554"/>
      <c r="AM21" s="771">
        <f>IF(ISNUMBER(Datos!R21),Datos!R21," - ")</f>
        <v>5839</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f>IF(ISNUMBER(Datos!M21),Datos!M21," - ")</f>
        <v>1831</v>
      </c>
      <c r="BD21" s="697"/>
      <c r="BE21" s="697" t="str">
        <f>IF(ISNUMBER(Datos!BW21),Datos!BW21," - ")</f>
        <v xml:space="preserve"> - </v>
      </c>
      <c r="BF21" s="767" t="str">
        <f>IF(ISNUMBER(Datos!BX21),Datos!BX21," - ")</f>
        <v xml:space="preserve"> - </v>
      </c>
      <c r="BG21" s="768">
        <f>IF(ISNUMBER(Datos!K21/Datos!J21),Datos!K21/Datos!J21," - ")</f>
        <v>1.0449022715266771</v>
      </c>
      <c r="BH21" s="769">
        <f>IF(ISNUMBER(((Datos!L21/Datos!K21)*11)/factor_trimestre),((Datos!L21/Datos!K21)*11)/factor_trimestre," - ")</f>
        <v>12.918604651162791</v>
      </c>
      <c r="BI21" s="768">
        <f>IF(ISNUMBER('Resol  Asuntos'!D21/NºAsuntos!G21),'Resol  Asuntos'!D21/NºAsuntos!G21," - ")</f>
        <v>0.92568250758341764</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400</v>
      </c>
    </row>
    <row r="22" spans="1:72" s="582" customFormat="1" ht="15" thickBot="1">
      <c r="A22" s="749">
        <f>Datos!AO22</f>
        <v>0</v>
      </c>
      <c r="B22" s="750" t="s">
        <v>514</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2400</v>
      </c>
    </row>
    <row r="23" spans="1:72" ht="15.75" thickTop="1" thickBot="1">
      <c r="A23" s="191"/>
      <c r="B23" s="191"/>
      <c r="C23" s="1163" t="str">
        <f>Datos!A23</f>
        <v>TOTAL</v>
      </c>
      <c r="D23" s="1199"/>
      <c r="E23" s="1199">
        <f>SUBTOTAL(9,E16:E22)</f>
        <v>13</v>
      </c>
      <c r="F23" s="1200">
        <f>SUBTOTAL(9,F16:F22)</f>
        <v>5115</v>
      </c>
      <c r="G23" s="1200">
        <f>SUBTOTAL(9,G16:G22)</f>
        <v>5747</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2498</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9802</v>
      </c>
      <c r="AC23" s="1201">
        <f t="shared" si="5"/>
        <v>3162</v>
      </c>
      <c r="AD23" s="1201">
        <f t="shared" si="5"/>
        <v>0</v>
      </c>
      <c r="AE23" s="1201">
        <f t="shared" si="5"/>
        <v>0</v>
      </c>
      <c r="AF23" s="1201">
        <f t="shared" si="5"/>
        <v>6218</v>
      </c>
      <c r="AG23" s="1201">
        <f t="shared" si="5"/>
        <v>0</v>
      </c>
      <c r="AH23" s="1201">
        <f t="shared" si="5"/>
        <v>0</v>
      </c>
      <c r="AI23" s="1201">
        <f t="shared" si="5"/>
        <v>0</v>
      </c>
      <c r="AJ23" s="1201">
        <f t="shared" si="5"/>
        <v>0</v>
      </c>
      <c r="AK23" s="1201">
        <f t="shared" si="5"/>
        <v>0</v>
      </c>
      <c r="AL23" s="1201">
        <f t="shared" si="5"/>
        <v>0</v>
      </c>
      <c r="AM23" s="1201">
        <f t="shared" si="5"/>
        <v>6270</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2866</v>
      </c>
      <c r="BD23" s="1201">
        <f t="shared" si="5"/>
        <v>4412</v>
      </c>
      <c r="BE23" s="1201">
        <f t="shared" si="5"/>
        <v>0</v>
      </c>
      <c r="BF23" s="1201">
        <f t="shared" si="5"/>
        <v>0</v>
      </c>
      <c r="BG23" s="1201">
        <f>IF(ISNUMBER(Datos!K23/Datos!J23),Datos!K23/Datos!J23," - ")</f>
        <v>0.90776069642526391</v>
      </c>
      <c r="BH23" s="1205">
        <f>IF(ISNUMBER(((Datos!L23/Datos!K23)*11)/factor_trimestre),((Datos!L23/Datos!K23)*11)/factor_trimestre," - ")</f>
        <v>6.9779636808814525</v>
      </c>
      <c r="BI23" s="1201">
        <f>SUBTOTAL(9,BI16:BI22)</f>
        <v>1.0924839574424592</v>
      </c>
      <c r="BJ23" s="1201">
        <f>SUBTOTAL(9,BJ16:BJ22)</f>
        <v>0</v>
      </c>
      <c r="BK23" s="1201">
        <f>SUBTOTAL(9,BK16:BK22)</f>
        <v>0</v>
      </c>
      <c r="BL23" s="1201">
        <f>IF(ISNUMBER((I23-AB23+L23)/(F23)),(I23-AB23+L23)/(F23)," - ")</f>
        <v>-1.9163245356793743</v>
      </c>
      <c r="BM23" s="1208">
        <f>IF(ISNUMBER((Datos!P23-Datos!Q23)/(Datos!R23-Datos!P23+Datos!Q23)),(Datos!P23-Datos!Q23)/(Datos!R23-Datos!P23+Datos!Q23)," - ")</f>
        <v>-9.5760023074704353E-2</v>
      </c>
      <c r="BN23" s="1201">
        <f t="shared" ref="BN23:BT23" si="6">SUBTOTAL(9,BN16:BN22)</f>
        <v>0</v>
      </c>
      <c r="BO23" s="1201">
        <f t="shared" si="6"/>
        <v>0</v>
      </c>
      <c r="BP23" s="1201">
        <f t="shared" si="6"/>
        <v>0</v>
      </c>
      <c r="BQ23" s="1201">
        <f t="shared" si="6"/>
        <v>0</v>
      </c>
      <c r="BR23" s="1201">
        <f t="shared" si="6"/>
        <v>0</v>
      </c>
      <c r="BS23" s="1201">
        <f t="shared" si="6"/>
        <v>0</v>
      </c>
      <c r="BT23" s="1215">
        <f t="shared" si="6"/>
        <v>14815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0</v>
      </c>
      <c r="B25" s="604" t="s">
        <v>515</v>
      </c>
      <c r="C25" s="7" t="str">
        <f>Datos!A25</f>
        <v xml:space="preserve">Jdos Cont.-Admvo.                               </v>
      </c>
      <c r="D25" s="553"/>
      <c r="E25" s="721">
        <f>IF(ISNUMBER(Datos!AQ25),Datos!AQ25," - ")</f>
        <v>0</v>
      </c>
      <c r="F25" s="556" t="str">
        <f>IF(ISNUMBER(Datos!L25+Datos!K25-Datos!J25),Datos!L25+Datos!K25-Datos!J25," - ")</f>
        <v xml:space="preserve"> - </v>
      </c>
      <c r="G25" s="547" t="str">
        <f>IF(ISNUMBER(Datos!I25),Datos!I25," - ")</f>
        <v xml:space="preserve"> - </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0</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t="str">
        <f>IF(ISNUMBER(Datos!K25),Datos!K25," - ")</f>
        <v xml:space="preserve"> - </v>
      </c>
      <c r="AC25" s="240" t="str">
        <f>IF(ISNUMBER(Datos!Q25),Datos!Q25," - ")</f>
        <v xml:space="preserve"> - </v>
      </c>
      <c r="AD25" s="374"/>
      <c r="AE25" s="566"/>
      <c r="AF25" s="372" t="str">
        <f>IF(ISNUMBER(Datos!L25),Datos!L25,"-")</f>
        <v>-</v>
      </c>
      <c r="AG25" s="553" t="str">
        <f>IF(ISNUMBER(Datos!DN25),Datos!DN25,"-")</f>
        <v>-</v>
      </c>
      <c r="AH25" s="374"/>
      <c r="AI25" s="374"/>
      <c r="AJ25" s="553"/>
      <c r="AK25" s="553" t="str">
        <f>IF(ISNUMBER(Datos!DO25),Datos!DO25,"-")</f>
        <v>-</v>
      </c>
      <c r="AL25" s="554"/>
      <c r="AM25" s="375" t="str">
        <f>IF(ISNUMBER(Datos!R25),Datos!R25," - ")</f>
        <v xml:space="preserve"> - </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8" t="str">
        <f>IF(ISNUMBER(Datos!K25/Datos!J25),Datos!K25/Datos!J25," - ")</f>
        <v xml:space="preserve"> - </v>
      </c>
      <c r="BH25" s="769" t="str">
        <f>IF(ISNUMBER(((Datos!L25/Datos!K25)*11)/factor_trimestre),((Datos!L25/Datos!K25)*11)/factor_trimestre," - ")</f>
        <v xml:space="preserve"> - </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570</v>
      </c>
    </row>
    <row r="26" spans="1:72" ht="15.75" thickTop="1" thickBot="1">
      <c r="A26" s="191"/>
      <c r="B26" s="191"/>
      <c r="C26" s="1163" t="str">
        <f>Datos!A26</f>
        <v>TOTAL</v>
      </c>
      <c r="D26" s="1199"/>
      <c r="E26" s="1199">
        <f>SUBTOTAL(9,E23:E25)</f>
        <v>0</v>
      </c>
      <c r="F26" s="1200">
        <f t="shared" ref="F26:K26" si="8">SUBTOTAL(9,F25:F25)</f>
        <v>0</v>
      </c>
      <c r="G26" s="1200">
        <f t="shared" si="8"/>
        <v>0</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0</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0</v>
      </c>
      <c r="AC26" s="1201">
        <f t="shared" si="10"/>
        <v>0</v>
      </c>
      <c r="AD26" s="1201">
        <f t="shared" si="10"/>
        <v>0</v>
      </c>
      <c r="AE26" s="1201">
        <f t="shared" si="10"/>
        <v>0</v>
      </c>
      <c r="AF26" s="1202">
        <f t="shared" si="10"/>
        <v>0</v>
      </c>
      <c r="AG26" s="1202">
        <f t="shared" si="10"/>
        <v>0</v>
      </c>
      <c r="AH26" s="1202">
        <f t="shared" si="10"/>
        <v>0</v>
      </c>
      <c r="AI26" s="1202">
        <f t="shared" si="10"/>
        <v>0</v>
      </c>
      <c r="AJ26" s="1201">
        <f t="shared" si="10"/>
        <v>0</v>
      </c>
      <c r="AK26" s="1202">
        <f t="shared" si="10"/>
        <v>0</v>
      </c>
      <c r="AL26" s="1202">
        <f t="shared" si="10"/>
        <v>0</v>
      </c>
      <c r="AM26" s="1202">
        <f t="shared" si="10"/>
        <v>0</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0</v>
      </c>
      <c r="BD26" s="1214"/>
      <c r="BE26" s="1201">
        <f>SUBTOTAL(9,BE25:BE25)</f>
        <v>0</v>
      </c>
      <c r="BF26" s="1210">
        <f>SUBTOTAL(9,BF25:BF25)</f>
        <v>0</v>
      </c>
      <c r="BG26" s="1210" t="str">
        <f>IF(ISNUMBER(Datos!K26/Datos!J26),Datos!K26/Datos!J26," - ")</f>
        <v xml:space="preserve"> - </v>
      </c>
      <c r="BH26" s="1205" t="str">
        <f>IF(ISNUMBER(((Datos!L26/Datos!K26)*11)/factor_trimestre),((Datos!L26/Datos!K26)*11)/factor_trimestre," - ")</f>
        <v xml:space="preserve"> - </v>
      </c>
      <c r="BI26" s="1206"/>
      <c r="BJ26" s="1206" t="str">
        <f>IF(ISNUMBER(Datos!CI26/Datos!CJ26),Datos!CI26/Datos!CJ26," - ")</f>
        <v xml:space="preserve"> - </v>
      </c>
      <c r="BK26" s="1216"/>
      <c r="BL26" s="1201" t="str">
        <f t="shared" si="7"/>
        <v xml:space="preserve"> - </v>
      </c>
      <c r="BM26" s="1208" t="str">
        <f>IF(ISNUMBER((Datos!P26-Datos!Q26)/(Datos!R26-Datos!P26+Datos!Q26)),(Datos!P26-Datos!Q26)/(Datos!R26-Datos!P26+Datos!Q26)," - ")</f>
        <v xml:space="preserve"> - </v>
      </c>
      <c r="BN26" s="1217"/>
      <c r="BO26" s="1217"/>
      <c r="BP26" s="1199">
        <f>SUBTOTAL(9,BP23:BP25)</f>
        <v>0</v>
      </c>
      <c r="BQ26" s="1199">
        <f>SUBTOTAL(9,BQ23:BQ25)</f>
        <v>0</v>
      </c>
      <c r="BR26" s="1199">
        <f>SUBTOTAL(9,BR23:BR25)</f>
        <v>0</v>
      </c>
      <c r="BS26" s="1199">
        <f>SUBTOTAL(9,BS23:BS25)</f>
        <v>0</v>
      </c>
      <c r="BT26" s="1479">
        <f>SUBTOTAL(9,BT23:BT25)</f>
        <v>570</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0</v>
      </c>
      <c r="B28" s="604" t="s">
        <v>516</v>
      </c>
      <c r="C28" s="7" t="str">
        <f>Datos!A28</f>
        <v xml:space="preserve">Jdos. de lo Social                              </v>
      </c>
      <c r="D28" s="553"/>
      <c r="E28" s="721">
        <f>IF(ISNUMBER(Datos!AQ28),Datos!AQ28," - ")</f>
        <v>0</v>
      </c>
      <c r="F28" s="556" t="str">
        <f>IF(ISNUMBER(Datos!L28+Datos!K28-Datos!J28),Datos!L28+Datos!K28-Datos!J28," - ")</f>
        <v xml:space="preserve"> - </v>
      </c>
      <c r="G28" s="547" t="str">
        <f>IF(ISNUMBER(Datos!I28),Datos!I28," - ")</f>
        <v xml:space="preserve"> - </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0</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t="str">
        <f>IF(ISNUMBER(Datos!K28),Datos!K28," - ")</f>
        <v xml:space="preserve"> - </v>
      </c>
      <c r="AC28" s="240" t="str">
        <f>IF(ISNUMBER(Datos!Q28),Datos!Q28," - ")</f>
        <v xml:space="preserve"> - </v>
      </c>
      <c r="AD28" s="374"/>
      <c r="AE28" s="566"/>
      <c r="AF28" s="372" t="str">
        <f>IF(ISNUMBER(Datos!L28),Datos!L28,"-")</f>
        <v>-</v>
      </c>
      <c r="AG28" s="553"/>
      <c r="AH28" s="374"/>
      <c r="AI28" s="374"/>
      <c r="AJ28" s="553"/>
      <c r="AK28" s="553"/>
      <c r="AL28" s="554"/>
      <c r="AM28" s="375" t="str">
        <f>IF(ISNUMBER(Datos!R28),Datos!R28," - ")</f>
        <v xml:space="preserve"> - </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8" t="str">
        <f>IF(ISNUMBER(Datos!K28/Datos!J28),Datos!K28/Datos!J28," - ")</f>
        <v xml:space="preserve"> - </v>
      </c>
      <c r="BH28" s="769"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800</v>
      </c>
    </row>
    <row r="29" spans="1:72" ht="15" thickBot="1">
      <c r="A29" s="596">
        <f>Datos!AO29</f>
        <v>0</v>
      </c>
      <c r="B29" s="604" t="s">
        <v>516</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3500</v>
      </c>
    </row>
    <row r="30" spans="1:72" ht="15.75" thickTop="1" thickBot="1">
      <c r="A30" s="191"/>
      <c r="B30" s="191"/>
      <c r="C30" s="1163" t="str">
        <f>Datos!A30</f>
        <v>TOTAL</v>
      </c>
      <c r="D30" s="1199"/>
      <c r="E30" s="1199">
        <f>SUBTOTAL(9,E25:E29)</f>
        <v>0</v>
      </c>
      <c r="F30" s="1200">
        <f t="shared" ref="F30:K30" si="12">SUBTOTAL(9,F28:F29)</f>
        <v>0</v>
      </c>
      <c r="G30" s="1200">
        <f t="shared" si="12"/>
        <v>0</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0</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0</v>
      </c>
      <c r="AC30" s="1201">
        <f t="shared" si="14"/>
        <v>0</v>
      </c>
      <c r="AD30" s="1201">
        <f t="shared" si="14"/>
        <v>0</v>
      </c>
      <c r="AE30" s="1201">
        <f t="shared" si="14"/>
        <v>0</v>
      </c>
      <c r="AF30" s="1202">
        <f t="shared" si="14"/>
        <v>0</v>
      </c>
      <c r="AG30" s="1202">
        <f t="shared" si="14"/>
        <v>0</v>
      </c>
      <c r="AH30" s="1202">
        <f t="shared" si="14"/>
        <v>0</v>
      </c>
      <c r="AI30" s="1202">
        <f t="shared" si="14"/>
        <v>0</v>
      </c>
      <c r="AJ30" s="1201">
        <f t="shared" si="14"/>
        <v>0</v>
      </c>
      <c r="AK30" s="1202">
        <f t="shared" si="14"/>
        <v>0</v>
      </c>
      <c r="AL30" s="1202"/>
      <c r="AM30" s="1202">
        <f t="shared" ref="AM30:AV30" si="15">SUBTOTAL(9,AM28:AM29)</f>
        <v>0</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0</v>
      </c>
      <c r="BD30" s="1214"/>
      <c r="BE30" s="1201">
        <f>SUBTOTAL(9,BE28:BE29)</f>
        <v>0</v>
      </c>
      <c r="BF30" s="1210">
        <f>SUBTOTAL(9,BF28:BF29)</f>
        <v>0</v>
      </c>
      <c r="BG30" s="1201" t="str">
        <f>IF(ISNUMBER(Datos!K30/Datos!J30),Datos!K30/Datos!J30," - ")</f>
        <v xml:space="preserve"> - </v>
      </c>
      <c r="BH30" s="1205" t="str">
        <f>IF(ISNUMBER(((Datos!L30/Datos!K30)*11)/factor_trimestre),((Datos!L30/Datos!K30)*11)/factor_trimestre," - ")</f>
        <v xml:space="preserve"> - </v>
      </c>
      <c r="BI30" s="1206"/>
      <c r="BJ30" s="1206" t="str">
        <f>IF(ISNUMBER(BL30/BM30),BL30/BM30," - ")</f>
        <v xml:space="preserve"> - </v>
      </c>
      <c r="BK30" s="1199">
        <f>SUBTOTAL(9,BK28:BK29)</f>
        <v>0</v>
      </c>
      <c r="BL30" s="1201" t="str">
        <f t="shared" si="11"/>
        <v xml:space="preserve"> - </v>
      </c>
      <c r="BM30" s="1208" t="str">
        <f>IF(ISNUMBER((Datos!P30-Datos!Q30)/(Datos!R30-Datos!P30+Datos!Q30)),(Datos!P30-Datos!Q30)/(Datos!R30-Datos!P30+Datos!Q30)," - ")</f>
        <v xml:space="preserve"> - </v>
      </c>
      <c r="BN30" s="1217"/>
      <c r="BO30" s="1217"/>
      <c r="BP30" s="1199">
        <f>SUBTOTAL(9,BP25:BP29)</f>
        <v>0</v>
      </c>
      <c r="BQ30" s="1199">
        <f>SUBTOTAL(9,BQ25:BQ29)</f>
        <v>0</v>
      </c>
      <c r="BR30" s="1199">
        <f>SUBTOTAL(9,BR25:BR29)</f>
        <v>0</v>
      </c>
      <c r="BS30" s="1199">
        <f>SUBTOTAL(9,BS25:BS29)</f>
        <v>0</v>
      </c>
      <c r="BT30" s="1479">
        <f>SUBTOTAL(9,BT25:BT29)</f>
        <v>4870</v>
      </c>
    </row>
    <row r="31" spans="1:72" ht="18.75" customHeight="1" thickTop="1" thickBot="1">
      <c r="A31" s="185"/>
      <c r="B31" s="185"/>
      <c r="C31" s="1118" t="str">
        <f>Datos!A31</f>
        <v>TOTAL JURISDICCIONES</v>
      </c>
      <c r="D31" s="1118"/>
      <c r="E31" s="1223">
        <f t="shared" ref="E31:R31" si="16">SUBTOTAL(9,E9:E30)</f>
        <v>22</v>
      </c>
      <c r="F31" s="1120">
        <f t="shared" si="16"/>
        <v>5191</v>
      </c>
      <c r="G31" s="1120">
        <f t="shared" si="16"/>
        <v>5823</v>
      </c>
      <c r="H31" s="1122">
        <f t="shared" si="16"/>
        <v>0</v>
      </c>
      <c r="I31" s="1120">
        <f t="shared" si="16"/>
        <v>0</v>
      </c>
      <c r="J31" s="1122">
        <f t="shared" si="16"/>
        <v>0</v>
      </c>
      <c r="K31" s="1122">
        <f t="shared" si="16"/>
        <v>0</v>
      </c>
      <c r="L31" s="1183">
        <f t="shared" si="16"/>
        <v>0</v>
      </c>
      <c r="M31" s="1183">
        <f t="shared" si="16"/>
        <v>0</v>
      </c>
      <c r="N31" s="1183">
        <f t="shared" si="16"/>
        <v>372</v>
      </c>
      <c r="O31" s="1183">
        <f t="shared" si="16"/>
        <v>0</v>
      </c>
      <c r="P31" s="1183">
        <f t="shared" si="16"/>
        <v>0</v>
      </c>
      <c r="Q31" s="1122">
        <f t="shared" si="16"/>
        <v>4207</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9827</v>
      </c>
      <c r="AC31" s="1121">
        <f t="shared" si="17"/>
        <v>4904</v>
      </c>
      <c r="AD31" s="1121">
        <f t="shared" si="17"/>
        <v>0</v>
      </c>
      <c r="AE31" s="1121">
        <f t="shared" si="17"/>
        <v>0</v>
      </c>
      <c r="AF31" s="1128">
        <f t="shared" si="17"/>
        <v>6329</v>
      </c>
      <c r="AG31" s="1128">
        <f t="shared" si="17"/>
        <v>0</v>
      </c>
      <c r="AH31" s="1128">
        <f t="shared" si="17"/>
        <v>168</v>
      </c>
      <c r="AI31" s="1128">
        <f t="shared" si="17"/>
        <v>0</v>
      </c>
      <c r="AJ31" s="1121">
        <f t="shared" si="17"/>
        <v>0</v>
      </c>
      <c r="AK31" s="1128">
        <f t="shared" si="17"/>
        <v>0</v>
      </c>
      <c r="AL31" s="1128">
        <f t="shared" si="17"/>
        <v>0</v>
      </c>
      <c r="AM31" s="1128">
        <f t="shared" si="17"/>
        <v>16042</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4307</v>
      </c>
      <c r="BD31" s="1120">
        <f t="shared" si="17"/>
        <v>6370</v>
      </c>
      <c r="BE31" s="1120">
        <f t="shared" si="17"/>
        <v>0</v>
      </c>
      <c r="BF31" s="1130">
        <f t="shared" si="17"/>
        <v>0</v>
      </c>
      <c r="BG31" s="1227">
        <f>IF(ISNUMBER(Datos!K31/Datos!J31),Datos!K31/Datos!J31," - ")</f>
        <v>0.85975575440373686</v>
      </c>
      <c r="BH31" s="1227">
        <f>IF(ISNUMBER(((Datos!L31/Datos!K31)*11)/factor_trimestre),((Datos!L31/Datos!K31)*11)/factor_trimestre," - ")</f>
        <v>10.341886496039798</v>
      </c>
      <c r="BI31" s="1106">
        <f>IF(ISNUMBER(Datos!J31/Datos!I31),Datos!J31/Datos!I31," - ")</f>
        <v>1.4346035846923946</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-1.8930841841649009</v>
      </c>
      <c r="BM31" s="1191">
        <f>IF(ISNUMBER((Datos!P31-Datos!Q31+R31)/(Datos!R31-Datos!P31+Datos!Q31-R31)),(Datos!P31-Datos!Q31+R31)/(Datos!R31-Datos!P31+Datos!Q31-R31)," - ")</f>
        <v>-4.1639285500925979E-2</v>
      </c>
      <c r="BN31" s="1230">
        <f t="shared" ref="BN31:BT31" si="18">SUBTOTAL(9,BN9:BN30)</f>
        <v>0</v>
      </c>
      <c r="BO31" s="1230">
        <f t="shared" si="18"/>
        <v>0</v>
      </c>
      <c r="BP31" s="1182">
        <f t="shared" si="18"/>
        <v>0</v>
      </c>
      <c r="BQ31" s="1182">
        <f t="shared" si="18"/>
        <v>0</v>
      </c>
      <c r="BR31" s="1182">
        <f t="shared" si="18"/>
        <v>0</v>
      </c>
      <c r="BS31" s="1182">
        <f t="shared" si="18"/>
        <v>0</v>
      </c>
      <c r="BT31" s="1481">
        <f t="shared" si="18"/>
        <v>25363</v>
      </c>
    </row>
    <row r="32" spans="1:72" ht="18.75" customHeight="1" thickTop="1" thickBot="1">
      <c r="A32" s="180"/>
      <c r="B32" s="180"/>
      <c r="C32" s="1138" t="s">
        <v>343</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1455.75</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344</v>
      </c>
      <c r="D33" s="562"/>
      <c r="E33" s="638">
        <f>IF(ISNUMBER(STDEV(E8:E30)),STDEV(E8:E30),"-")</f>
        <v>4.2564021267177621</v>
      </c>
      <c r="F33" s="677">
        <f>IF(ISNUMBER(STDEV(F8:F30)),STDEV(F8:F30),"-")</f>
        <v>1995.9584521871047</v>
      </c>
      <c r="G33" s="678">
        <f>IF(ISNUMBER(STDEV(G8:G30)),STDEV(G8:G30),"-")</f>
        <v>2120.3694253596473</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3915.8323234932168</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1030.4732461889105</v>
      </c>
      <c r="BD33" s="677"/>
      <c r="BE33" s="677">
        <f>IF(ISNUMBER(STDEV(BE8:BE30)),STDEV(BE8:BE30),"-")</f>
        <v>0</v>
      </c>
      <c r="BF33" s="682">
        <f>IF(ISNUMBER(STDEV(BF8:BF30)),STDEV(BF8:BF30),"-")</f>
        <v>0</v>
      </c>
      <c r="BG33" s="1055">
        <f>IF(ISNUMBER(STDEV(BG8:BG30)),STDEV(BG8:BG30),"-")</f>
        <v>0.19727054263319824</v>
      </c>
      <c r="BH33" s="1061">
        <f>IF(ISNUMBER(STDEV(BH8:BH30)),STDEV(BH8:BH30),"-")</f>
        <v>15.024517210610265</v>
      </c>
      <c r="BI33" s="273">
        <f>IF(ISNUMBER(STDEV(BI8:BI30)),STDEV(BI8:BI30),"-")</f>
        <v>0.48693538433186284</v>
      </c>
      <c r="BJ33" s="244" t="str">
        <f>IF(ISNUMBER(BL33/BM33),BL33/BM33," - ")</f>
        <v xml:space="preserve"> - </v>
      </c>
      <c r="BK33" s="713"/>
      <c r="BL33" s="685">
        <f>IF(ISNUMBER(STDEV(BL8:BL30)),STDEV(BL8:BL30),"-")</f>
        <v>1.1224451592690514</v>
      </c>
      <c r="BM33" s="686"/>
      <c r="BN33" s="731"/>
      <c r="BO33" s="731"/>
      <c r="BP33" s="687">
        <f>IF(ISNUMBER(STDEV(BP8:BP30)),STDEV(BP8:BP30),"-")</f>
        <v>0</v>
      </c>
      <c r="BQ33" s="687"/>
      <c r="BR33" s="688">
        <f>IF(ISNUMBER(STDEV(BR8:BR30)),STDEV(BR8:BR30),"-")</f>
        <v>0</v>
      </c>
      <c r="BS33" s="689">
        <f>IF(ISNUMBER(STDEV(BS8:BS30)),STDEV(BS8:BS30),"-")</f>
        <v>0</v>
      </c>
      <c r="BT33" s="1482">
        <f>IF(ISNUMBER(STDEV(BT8:BT30)),STDEV(BT8:BT30),"-")</f>
        <v>3383.4875757771883</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548</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341</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342</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05 abr. 2022</v>
      </c>
    </row>
    <row r="44" spans="1:72">
      <c r="C44" s="649"/>
      <c r="D44" s="650"/>
    </row>
  </sheetData>
  <sheetProtection algorithmName="SHA-512" hashValue="LAnDg6jUd2oUDbJTxWLxN3AUTUj3rX4tMchwc+69SvMKUlDPccPbEBvKAu0kNudB962VhywGYD6eeEXDENwRlw==" saltValue="QwRL/hKaDifyBk1ilX/7Dw==" spinCount="100000" sheet="1" objects="1" scenarios="1"/>
  <mergeCells count="71">
    <mergeCell ref="G5:G7"/>
    <mergeCell ref="I5:I7"/>
    <mergeCell ref="L5:L7"/>
    <mergeCell ref="A5:A7"/>
    <mergeCell ref="C5:C6"/>
    <mergeCell ref="D5:D7"/>
    <mergeCell ref="E5:E7"/>
    <mergeCell ref="F5:F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7" sqref="C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CATALUÑA</v>
      </c>
    </row>
    <row r="2" spans="1:72" ht="16.5" customHeight="1">
      <c r="C2" s="651" t="str">
        <f>Criterios!A10 &amp;"  "&amp;Criterios!B10 &amp; "  " &amp; IF(NOT(ISBLANK(Criterios!A11)),Criterios!A11 &amp;"  "&amp;Criterios!B11,"")</f>
        <v>Provincias  BARCELONA  Resumenes por Partidos Judiciales  VILANOVA I LA GELTRU</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42" t="s">
        <v>468</v>
      </c>
      <c r="B5" s="297"/>
      <c r="C5" s="1888" t="str">
        <f>"Año:  " &amp;Criterios!B$5 &amp; "          Trimestre   " &amp;Criterios!D$5 &amp; " al " &amp;Criterios!D$6</f>
        <v>Año:  2021          Trimestre   1 al 4</v>
      </c>
      <c r="D5" s="1890" t="s">
        <v>494</v>
      </c>
      <c r="E5" s="1847" t="s">
        <v>753</v>
      </c>
      <c r="F5" s="1885" t="s">
        <v>530</v>
      </c>
      <c r="G5" s="1847" t="s">
        <v>176</v>
      </c>
      <c r="H5" s="1847" t="s">
        <v>786</v>
      </c>
      <c r="I5" s="1847" t="s">
        <v>754</v>
      </c>
      <c r="J5" s="1847" t="s">
        <v>891</v>
      </c>
      <c r="K5" s="1847" t="s">
        <v>755</v>
      </c>
      <c r="L5" s="1847" t="s">
        <v>784</v>
      </c>
      <c r="M5" s="1847" t="s">
        <v>893</v>
      </c>
      <c r="N5" s="1847" t="s">
        <v>781</v>
      </c>
      <c r="O5" s="1847" t="s">
        <v>815</v>
      </c>
      <c r="P5" s="1880" t="s">
        <v>883</v>
      </c>
      <c r="Q5" s="1880" t="s">
        <v>886</v>
      </c>
      <c r="R5" s="1847" t="s">
        <v>790</v>
      </c>
      <c r="S5" s="1847" t="s">
        <v>756</v>
      </c>
      <c r="T5" s="1847" t="s">
        <v>1046</v>
      </c>
      <c r="U5" s="1847" t="s">
        <v>1047</v>
      </c>
      <c r="V5" s="1859" t="s">
        <v>874</v>
      </c>
      <c r="W5" s="1850" t="s">
        <v>770</v>
      </c>
      <c r="X5" s="1853" t="s">
        <v>771</v>
      </c>
      <c r="Y5" s="1856" t="s">
        <v>791</v>
      </c>
      <c r="Z5" s="1856" t="s">
        <v>816</v>
      </c>
      <c r="AA5" s="1847" t="s">
        <v>760</v>
      </c>
      <c r="AB5" s="1847" t="s">
        <v>772</v>
      </c>
      <c r="AC5" s="1847" t="s">
        <v>773</v>
      </c>
      <c r="AD5" s="1847" t="s">
        <v>713</v>
      </c>
      <c r="AE5" s="1847" t="s">
        <v>894</v>
      </c>
      <c r="AF5" s="1847" t="s">
        <v>246</v>
      </c>
      <c r="AG5" s="1847" t="s">
        <v>774</v>
      </c>
      <c r="AH5" s="1847" t="s">
        <v>761</v>
      </c>
      <c r="AI5" s="1847" t="s">
        <v>762</v>
      </c>
      <c r="AJ5" s="1847" t="s">
        <v>775</v>
      </c>
      <c r="AK5" s="1847" t="s">
        <v>776</v>
      </c>
      <c r="AL5" s="1847" t="s">
        <v>777</v>
      </c>
      <c r="AM5" s="1871" t="s">
        <v>778</v>
      </c>
      <c r="AN5" s="1847" t="s">
        <v>326</v>
      </c>
      <c r="AO5" s="1847" t="s">
        <v>764</v>
      </c>
      <c r="AP5" s="1847" t="s">
        <v>765</v>
      </c>
      <c r="AQ5" s="1847" t="s">
        <v>792</v>
      </c>
      <c r="AR5" s="1847" t="s">
        <v>793</v>
      </c>
      <c r="AS5" s="1847" t="s">
        <v>795</v>
      </c>
      <c r="AT5" s="1847" t="s">
        <v>788</v>
      </c>
      <c r="AU5" s="1847" t="s">
        <v>439</v>
      </c>
      <c r="AV5" s="1847" t="s">
        <v>779</v>
      </c>
      <c r="AW5" s="1847" t="s">
        <v>718</v>
      </c>
      <c r="BT5" s="1847" t="s">
        <v>1048</v>
      </c>
    </row>
    <row r="6" spans="1:72" ht="21.75" customHeight="1">
      <c r="A6" s="1643"/>
      <c r="B6" s="298"/>
      <c r="C6" s="1889"/>
      <c r="D6" s="1891"/>
      <c r="E6" s="1848"/>
      <c r="F6" s="1886"/>
      <c r="G6" s="1848"/>
      <c r="H6" s="1848"/>
      <c r="I6" s="1848"/>
      <c r="J6" s="1848"/>
      <c r="K6" s="1848"/>
      <c r="L6" s="1848"/>
      <c r="M6" s="1848"/>
      <c r="N6" s="1848"/>
      <c r="O6" s="1848"/>
      <c r="P6" s="1881"/>
      <c r="Q6" s="1881"/>
      <c r="R6" s="1848"/>
      <c r="S6" s="1848"/>
      <c r="T6" s="1848"/>
      <c r="U6" s="1848"/>
      <c r="V6" s="1860"/>
      <c r="W6" s="1851"/>
      <c r="X6" s="1854"/>
      <c r="Y6" s="1857"/>
      <c r="Z6" s="1857"/>
      <c r="AA6" s="1848"/>
      <c r="AB6" s="1848"/>
      <c r="AC6" s="1848"/>
      <c r="AD6" s="1848"/>
      <c r="AE6" s="1848"/>
      <c r="AF6" s="1848"/>
      <c r="AG6" s="1848"/>
      <c r="AH6" s="1848"/>
      <c r="AI6" s="1848"/>
      <c r="AJ6" s="1848"/>
      <c r="AK6" s="1848"/>
      <c r="AL6" s="1848"/>
      <c r="AM6" s="1872"/>
      <c r="AN6" s="1848"/>
      <c r="AO6" s="1848"/>
      <c r="AP6" s="1848"/>
      <c r="AQ6" s="1848"/>
      <c r="AR6" s="1848"/>
      <c r="AS6" s="1848"/>
      <c r="AT6" s="1848"/>
      <c r="AU6" s="1848"/>
      <c r="AV6" s="1848"/>
      <c r="AW6" s="1848"/>
      <c r="BT6" s="1848"/>
    </row>
    <row r="7" spans="1:72" ht="38.25" customHeight="1" thickBot="1">
      <c r="A7" s="1644"/>
      <c r="B7" s="299"/>
      <c r="C7" s="652" t="str">
        <f>Datos!A7</f>
        <v>COMPETENCIAS</v>
      </c>
      <c r="D7" s="1892"/>
      <c r="E7" s="1849"/>
      <c r="F7" s="1887"/>
      <c r="G7" s="1849"/>
      <c r="H7" s="1849"/>
      <c r="I7" s="1849"/>
      <c r="J7" s="1849"/>
      <c r="K7" s="1849"/>
      <c r="L7" s="1849"/>
      <c r="M7" s="1849"/>
      <c r="N7" s="1849"/>
      <c r="O7" s="1849"/>
      <c r="P7" s="1882"/>
      <c r="Q7" s="1882"/>
      <c r="R7" s="1849"/>
      <c r="S7" s="1849"/>
      <c r="T7" s="1849"/>
      <c r="U7" s="1849"/>
      <c r="V7" s="1861"/>
      <c r="W7" s="1852"/>
      <c r="X7" s="1855"/>
      <c r="Y7" s="1858"/>
      <c r="Z7" s="1858"/>
      <c r="AA7" s="1849"/>
      <c r="AB7" s="1849"/>
      <c r="AC7" s="1849"/>
      <c r="AD7" s="1849"/>
      <c r="AE7" s="1849"/>
      <c r="AF7" s="1849"/>
      <c r="AG7" s="1849"/>
      <c r="AH7" s="1849"/>
      <c r="AI7" s="1849"/>
      <c r="AJ7" s="1849"/>
      <c r="AK7" s="1849"/>
      <c r="AL7" s="1849"/>
      <c r="AM7" s="1873"/>
      <c r="AN7" s="1849"/>
      <c r="AO7" s="1849"/>
      <c r="AP7" s="1849"/>
      <c r="AQ7" s="1849"/>
      <c r="AR7" s="1849"/>
      <c r="AS7" s="1849"/>
      <c r="AT7" s="1849"/>
      <c r="AU7" s="1849"/>
      <c r="AV7" s="1849"/>
      <c r="AW7" s="1849"/>
      <c r="BT7" s="1849"/>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794</v>
      </c>
      <c r="B9" s="749" t="s">
        <v>323</v>
      </c>
      <c r="C9" s="770" t="str">
        <f>Datos!A9</f>
        <v xml:space="preserve">Jdos. 1ª Instancia   </v>
      </c>
      <c r="D9" s="597"/>
      <c r="E9" s="752">
        <f>IF(ISNUMBER(Datos!AQ9),Datos!AQ9," - ")</f>
        <v>0</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0</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t="str">
        <f>IF(ISNUMBER(Datos!Q9),Datos!Q9," - ")</f>
        <v xml:space="preserve"> - </v>
      </c>
      <c r="AA9" s="555" t="str">
        <f>IF(ISNUMBER(IF(J_V="SI",Datos!L9,Datos!L9+Datos!AB9)-IF(Monitorios="SI",Datos!CD9,0)),
                          IF(J_V="SI",Datos!L9,Datos!L9+Datos!AB9)-IF(Monitorios="SI",Datos!CD9,0),
                          " - ")</f>
        <v xml:space="preserve"> - </v>
      </c>
      <c r="AB9" s="553"/>
      <c r="AC9" s="553"/>
      <c r="AD9" s="567"/>
      <c r="AE9" s="567" t="str">
        <f>IF(ISNUMBER(Datos!R9),Datos!R9," - ")</f>
        <v xml:space="preserve"> - </v>
      </c>
      <c r="AF9" s="697" t="str">
        <f>IF(ISNUMBER(Datos!BV9),Datos!BV9," - ")</f>
        <v xml:space="preserve"> - </v>
      </c>
      <c r="AG9" s="556" t="str">
        <f>IF(ISNUMBER(Datos!DV9),Datos!DV9," - ")</f>
        <v xml:space="preserve"> - </v>
      </c>
      <c r="AH9" s="557"/>
      <c r="AI9" s="558"/>
      <c r="AJ9" s="556" t="str">
        <f>IF(ISNUMBER(Datos!M9),Datos!M9," - ")</f>
        <v xml:space="preserve"> - </v>
      </c>
      <c r="AK9" s="697" t="str">
        <f>IF(ISNUMBER(Datos!N9),Datos!N9," - ")</f>
        <v xml:space="preserve"> - </v>
      </c>
      <c r="AL9" s="697" t="str">
        <f>IF(ISNUMBER(Datos!BW9),Datos!BW9," - ")</f>
        <v xml:space="preserve"> - </v>
      </c>
      <c r="AM9" s="767" t="str">
        <f>IF(ISNUMBER(Datos!BX9),Datos!BX9," - ")</f>
        <v xml:space="preserve"> - </v>
      </c>
      <c r="AN9" s="768"/>
      <c r="AO9" s="769" t="str">
        <f>IF(ISNUMBER(((NºAsuntos!I9/NºAsuntos!G9)*11)/factor_trimestre),((NºAsuntos!I9/NºAsuntos!G9)*11)/factor_trimestre," - ")</f>
        <v xml:space="preserve"> - </v>
      </c>
      <c r="AP9" s="559" t="str">
        <f>IF(ISNUMBER(Datos!CI9/Datos!CJ9),Datos!CI9/Datos!CJ9," - ")</f>
        <v xml:space="preserve"> - </v>
      </c>
      <c r="AQ9" s="559" t="str">
        <f>IF(ISNUMBER((J9-Y9+K9)/(F9)),(J9-Y9+K9)/(F9)," - ")</f>
        <v xml:space="preserve"> - </v>
      </c>
      <c r="AR9" s="559" t="str">
        <f>IF(ISNUMBER((Datos!P9-Datos!Q9+Datos!DE9)/(Datos!R9-Datos!P9+Datos!Q9-Datos!DE9)),(Datos!P9-Datos!Q9+Datos!DE9)/(Datos!R9-Datos!P9+Datos!Q9-Datos!DE9)," - ")</f>
        <v xml:space="preserve"> - </v>
      </c>
      <c r="AS9" s="753"/>
      <c r="AT9" s="753"/>
      <c r="AU9" s="721" t="str">
        <f>IF(ISNUMBER(Datos!CW9),Datos!CW9," - ")</f>
        <v xml:space="preserve"> - </v>
      </c>
      <c r="AV9" s="721">
        <f>Datos!CX9</f>
        <v>0</v>
      </c>
      <c r="AW9" s="826">
        <f>Datos!DU9</f>
        <v>0</v>
      </c>
      <c r="BT9" s="1382">
        <f>Datos!ER9/factor_trimestre</f>
        <v>1200</v>
      </c>
    </row>
    <row r="10" spans="1:72" s="582" customFormat="1" ht="14.25">
      <c r="A10" s="749">
        <f>Datos!AO10</f>
        <v>1</v>
      </c>
      <c r="B10" s="750" t="s">
        <v>323</v>
      </c>
      <c r="C10" s="751" t="str">
        <f>Datos!A10</f>
        <v>Jdos. Violencia contra la mujer</v>
      </c>
      <c r="D10" s="605"/>
      <c r="E10" s="752">
        <f>IF(ISNUMBER(Datos!AQ10),Datos!AQ10," - ")</f>
        <v>0</v>
      </c>
      <c r="F10" s="556">
        <f>IF(ISNUMBER(Datos!L10+Datos!K10-Datos!J10),Datos!L10+Datos!K10-Datos!J10," - ")</f>
        <v>76</v>
      </c>
      <c r="G10" s="556">
        <f>IF(ISNUMBER(Datos!I10),Datos!I10," - ")</f>
        <v>76</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2</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25</v>
      </c>
      <c r="Z10" s="810">
        <f>IF(ISNUMBER(Datos!Q10),Datos!Q10," - ")</f>
        <v>1</v>
      </c>
      <c r="AA10" s="555">
        <f>IF(ISNUMBER(Datos!L10),Datos!L10,"-")</f>
        <v>111</v>
      </c>
      <c r="AB10" s="553"/>
      <c r="AC10" s="553"/>
      <c r="AD10" s="567"/>
      <c r="AE10" s="567">
        <f>IF(ISNUMBER(Datos!R10),Datos!R10," - ")</f>
        <v>41</v>
      </c>
      <c r="AF10" s="697" t="str">
        <f>IF(ISNUMBER(Datos!BV10),Datos!BV10," - ")</f>
        <v xml:space="preserve"> - </v>
      </c>
      <c r="AG10" s="556" t="str">
        <f>IF(ISNUMBER(Datos!DV10),Datos!DV10," - ")</f>
        <v xml:space="preserve"> - </v>
      </c>
      <c r="AH10" s="557"/>
      <c r="AI10" s="558"/>
      <c r="AJ10" s="556">
        <f>IF(ISNUMBER(Datos!M10),Datos!M10," - ")</f>
        <v>10</v>
      </c>
      <c r="AK10" s="697">
        <f>IF(ISNUMBER(Datos!N10),Datos!N10," - ")</f>
        <v>6</v>
      </c>
      <c r="AL10" s="697" t="str">
        <f>IF(ISNUMBER(Datos!BW10),Datos!BW10," - ")</f>
        <v xml:space="preserve"> - </v>
      </c>
      <c r="AM10" s="767" t="str">
        <f>IF(ISNUMBER(Datos!BX10),Datos!BX10," - ")</f>
        <v xml:space="preserve"> - </v>
      </c>
      <c r="AN10" s="768"/>
      <c r="AO10" s="769">
        <f>IF(ISNUMBER(((NºAsuntos!I10/NºAsuntos!G10)*11)/factor_trimestre),((NºAsuntos!I10/NºAsuntos!G10)*11)/factor_trimestre," - ")</f>
        <v>48.84</v>
      </c>
      <c r="AP10" s="559" t="str">
        <f>IF(ISNUMBER(Datos!CI10/Datos!CJ10),Datos!CI10/Datos!CJ10," - ")</f>
        <v xml:space="preserve"> - </v>
      </c>
      <c r="AQ10" s="559" t="str">
        <f>IF(ISNUMBER((I10-Y10+K10)/(F10)),(I10-Y10+K10)/(F10)," - ")</f>
        <v xml:space="preserve"> - </v>
      </c>
      <c r="AR10" s="559">
        <f>IF(ISNUMBER((Datos!P10-Datos!Q10+Datos!DE10)/(Datos!R10-Datos!P10+Datos!Q10-Datos!DE10)),(Datos!P10-Datos!Q10+Datos!DE10)/(Datos!R10-Datos!P10+Datos!Q10-Datos!DE10)," - ")</f>
        <v>2.5000000000000001E-2</v>
      </c>
      <c r="AS10" s="753"/>
      <c r="AT10" s="753"/>
      <c r="AU10" s="721" t="str">
        <f>IF(ISNUMBER(Datos!CW10),Datos!CW10," - ")</f>
        <v xml:space="preserve"> - </v>
      </c>
      <c r="AV10" s="721">
        <f>Datos!CX10</f>
        <v>0</v>
      </c>
      <c r="AW10" s="826">
        <f>Datos!DU10</f>
        <v>0</v>
      </c>
      <c r="BT10" s="1382">
        <f>Datos!ER10/factor_trimestre</f>
        <v>1600</v>
      </c>
    </row>
    <row r="11" spans="1:72" s="582" customFormat="1" ht="14.25">
      <c r="A11" s="749">
        <f>Datos!AO11</f>
        <v>0</v>
      </c>
      <c r="B11" s="750" t="s">
        <v>323</v>
      </c>
      <c r="C11" s="751" t="str">
        <f>Datos!A11</f>
        <v xml:space="preserve">Jdos. Familia                                   </v>
      </c>
      <c r="D11" s="605"/>
      <c r="E11" s="752">
        <f>IF(ISNUMBER(Datos!AQ11),Datos!AQ11," - ")</f>
        <v>0</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0</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t="str">
        <f>IF(ISNUMBER(Datos!Q11),Datos!Q11," - ")</f>
        <v xml:space="preserve"> - </v>
      </c>
      <c r="AA11" s="555" t="str">
        <f>IF(ISNUMBER(IF(J_V="SI",Datos!L11,Datos!L11+Datos!AB11)-IF(Monitorios="SI",Datos!CD11,0)),
                          IF(J_V="SI",Datos!L11,Datos!L11+Datos!AB11)-IF(Monitorios="SI",Datos!CD11,0),
                          " - ")</f>
        <v xml:space="preserve"> - </v>
      </c>
      <c r="AB11" s="553"/>
      <c r="AC11" s="553"/>
      <c r="AD11" s="567"/>
      <c r="AE11" s="567" t="str">
        <f>IF(ISNUMBER(Datos!R11),Datos!R11," - ")</f>
        <v xml:space="preserve"> - </v>
      </c>
      <c r="AF11" s="697" t="str">
        <f>IF(ISNUMBER(Datos!BV11),Datos!BV11," - ")</f>
        <v xml:space="preserve"> - </v>
      </c>
      <c r="AG11" s="556" t="str">
        <f>IF(ISNUMBER(Datos!DV11),Datos!DV11," - ")</f>
        <v xml:space="preserve"> - </v>
      </c>
      <c r="AH11" s="557"/>
      <c r="AI11" s="558"/>
      <c r="AJ11" s="556" t="str">
        <f>IF(ISNUMBER(Datos!M11),Datos!M11," - ")</f>
        <v xml:space="preserve"> - </v>
      </c>
      <c r="AK11" s="697" t="str">
        <f>IF(ISNUMBER(Datos!N11),Datos!N11," - ")</f>
        <v xml:space="preserve"> - </v>
      </c>
      <c r="AL11" s="697" t="str">
        <f>IF(ISNUMBER(Datos!BW11),Datos!BW11," - ")</f>
        <v xml:space="preserve"> - </v>
      </c>
      <c r="AM11" s="767" t="str">
        <f>IF(ISNUMBER(Datos!BX11),Datos!BX11," - ")</f>
        <v xml:space="preserve"> - </v>
      </c>
      <c r="AN11" s="768"/>
      <c r="AO11" s="769" t="str">
        <f>IF(ISNUMBER(((NºAsuntos!I11/NºAsuntos!G11)*11)/factor_trimestre),((NºAsuntos!I11/NºAsuntos!G11)*11)/factor_trimestre," - ")</f>
        <v xml:space="preserve"> - </v>
      </c>
      <c r="AP11" s="559" t="str">
        <f>IF(ISNUMBER(Datos!CI11/Datos!CJ11),Datos!CI11/Datos!CJ11," - ")</f>
        <v xml:space="preserve"> - </v>
      </c>
      <c r="AQ11" s="559" t="str">
        <f>IF(ISNUMBER((J11-Y11+K11)/(F11)),(J11-Y11+K11)/(F11)," - ")</f>
        <v xml:space="preserve"> - </v>
      </c>
      <c r="AR11" s="559" t="str">
        <f>IF(ISNUMBER((Datos!P11-Datos!Q11+Datos!DE11)/(Datos!R11-Datos!P11+Datos!Q11-Datos!DE11)),(Datos!P11-Datos!Q11+Datos!DE11)/(Datos!R11-Datos!P11+Datos!Q11-Datos!DE11)," - ")</f>
        <v xml:space="preserve"> - </v>
      </c>
      <c r="AS11" s="753"/>
      <c r="AT11" s="753"/>
      <c r="AU11" s="721" t="str">
        <f>IF(ISNUMBER(Datos!CW11),Datos!CW11," - ")</f>
        <v xml:space="preserve"> - </v>
      </c>
      <c r="AV11" s="721">
        <f>Datos!CX11</f>
        <v>0</v>
      </c>
      <c r="AW11" s="826">
        <f>Datos!DU11</f>
        <v>0</v>
      </c>
      <c r="BT11" s="1382">
        <f>Datos!ER11/factor_trimestre</f>
        <v>1323</v>
      </c>
    </row>
    <row r="12" spans="1:72" s="582" customFormat="1" ht="14.25">
      <c r="A12" s="749">
        <f>Datos!AO12</f>
        <v>9</v>
      </c>
      <c r="B12" s="750" t="s">
        <v>323</v>
      </c>
      <c r="C12" s="751" t="str">
        <f>Datos!A12</f>
        <v xml:space="preserve">Jdos. 1ª Instª. e Instr.                        </v>
      </c>
      <c r="D12" s="605"/>
      <c r="E12" s="752">
        <f>IF(ISNUMBER(Datos!AQ12),Datos!AQ12," - ")</f>
        <v>9</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1707</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f>IF(ISNUMBER(Datos!Q12),Datos!Q12," - ")</f>
        <v>1741</v>
      </c>
      <c r="AA12" s="555" t="str">
        <f>IF(ISNUMBER(IF(J_V="SI",Datos!L12,Datos!L12+Datos!AB12)-IF(Monitorios="SI",Datos!CD12,0)),
                          IF(J_V="SI",Datos!L12,Datos!L12+Datos!AB12)-IF(Monitorios="SI",Datos!CD12,0),
                          " - ")</f>
        <v xml:space="preserve"> - </v>
      </c>
      <c r="AB12" s="553"/>
      <c r="AC12" s="553"/>
      <c r="AD12" s="567"/>
      <c r="AE12" s="567">
        <f>IF(ISNUMBER(Datos!R12),Datos!R12," - ")</f>
        <v>9731</v>
      </c>
      <c r="AF12" s="697" t="str">
        <f>IF(ISNUMBER(Datos!BV12),Datos!BV12," - ")</f>
        <v xml:space="preserve"> - </v>
      </c>
      <c r="AG12" s="556" t="str">
        <f>IF(ISNUMBER(Datos!DV12),Datos!DV12," - ")</f>
        <v xml:space="preserve"> - </v>
      </c>
      <c r="AH12" s="557"/>
      <c r="AI12" s="558"/>
      <c r="AJ12" s="556">
        <f>IF(ISNUMBER(Datos!M12),Datos!M12," - ")</f>
        <v>1431</v>
      </c>
      <c r="AK12" s="697">
        <f>IF(ISNUMBER(Datos!N12),Datos!N12," - ")</f>
        <v>1952</v>
      </c>
      <c r="AL12" s="697" t="str">
        <f>IF(ISNUMBER(Datos!BW12),Datos!BW12," - ")</f>
        <v xml:space="preserve"> - </v>
      </c>
      <c r="AM12" s="767" t="str">
        <f>IF(ISNUMBER(Datos!BX12),Datos!BX12," - ")</f>
        <v xml:space="preserve"> - </v>
      </c>
      <c r="AN12" s="768"/>
      <c r="AO12" s="769">
        <f>IF(ISNUMBER(((NºAsuntos!I12/NºAsuntos!G12)*11)/factor_trimestre),((NºAsuntos!I12/NºAsuntos!G12)*11)/factor_trimestre," - ")</f>
        <v>15.512723521320495</v>
      </c>
      <c r="AP12" s="559" t="str">
        <f>IF(ISNUMBER(Datos!CI12/Datos!CJ12),Datos!CI12/Datos!CJ12," - ")</f>
        <v xml:space="preserve"> - </v>
      </c>
      <c r="AQ12" s="559" t="str">
        <f>IF(ISNUMBER((J12-Y12+K12)/(F12)),(J12-Y12+K12)/(F12)," - ")</f>
        <v xml:space="preserve"> - </v>
      </c>
      <c r="AR12" s="559">
        <f>IF(ISNUMBER((Datos!P12-Datos!Q12+Datos!DE12)/(Datos!R12-Datos!P12+Datos!Q12-Datos!DE12)),(Datos!P12-Datos!Q12+Datos!DE12)/(Datos!R12-Datos!P12+Datos!Q12-Datos!DE12)," - ")</f>
        <v>-3.4818228366615463E-3</v>
      </c>
      <c r="AS12" s="753"/>
      <c r="AT12" s="753"/>
      <c r="AU12" s="721" t="str">
        <f>IF(ISNUMBER(Datos!CW12),Datos!CW12," - ")</f>
        <v xml:space="preserve"> - </v>
      </c>
      <c r="AV12" s="721">
        <f>Datos!CX12</f>
        <v>0</v>
      </c>
      <c r="AW12" s="826">
        <f>Datos!DU12</f>
        <v>0</v>
      </c>
      <c r="BT12" s="1382">
        <f>Datos!ER12/factor_trimestre</f>
        <v>680</v>
      </c>
    </row>
    <row r="13" spans="1:72" s="582" customFormat="1" ht="15" thickBot="1">
      <c r="A13" s="749">
        <f>Datos!AO13</f>
        <v>0</v>
      </c>
      <c r="B13" s="750" t="s">
        <v>323</v>
      </c>
      <c r="C13" s="751" t="str">
        <f>Datos!A13</f>
        <v xml:space="preserve">Jdos. de Menores    </v>
      </c>
      <c r="D13" s="605"/>
      <c r="E13" s="752">
        <f>IF(ISNUMBER(Datos!AQ13),Datos!AQ13," - ")</f>
        <v>0</v>
      </c>
      <c r="F13" s="556" t="str">
        <f>IF(ISNUMBER(Datos!L13+Datos!K13-Datos!J13),Datos!L13+Datos!K13-Datos!J13," - ")</f>
        <v xml:space="preserve"> - </v>
      </c>
      <c r="G13" s="556" t="str">
        <f>IF(ISNUMBER(Datos!I13),Datos!I13," - ")</f>
        <v xml:space="preserve"> - </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t="str">
        <f>IF(ISNUMBER(Datos!K13),Datos!K13," - ")</f>
        <v xml:space="preserve"> - </v>
      </c>
      <c r="Z13" s="810" t="str">
        <f>IF(ISNUMBER(Datos!Q13),Datos!Q13," - ")</f>
        <v xml:space="preserve"> - </v>
      </c>
      <c r="AA13" s="555" t="str">
        <f>IF(ISNUMBER(Datos!L13),Datos!L13,"-")</f>
        <v>-</v>
      </c>
      <c r="AB13" s="553"/>
      <c r="AC13" s="553"/>
      <c r="AD13" s="567"/>
      <c r="AE13" s="567" t="str">
        <f>IF(ISNUMBER(Datos!R13),Datos!R13," - ")</f>
        <v xml:space="preserve"> - </v>
      </c>
      <c r="AF13" s="697" t="str">
        <f>IF(ISNUMBER(Datos!BV13),Datos!BV13," - ")</f>
        <v xml:space="preserve"> - </v>
      </c>
      <c r="AG13" s="556" t="str">
        <f>IF(ISNUMBER(Datos!DV13),Datos!DV13," - ")</f>
        <v xml:space="preserve"> - </v>
      </c>
      <c r="AH13" s="557"/>
      <c r="AI13" s="558"/>
      <c r="AJ13" s="556" t="str">
        <f>IF(ISNUMBER(Datos!M13),Datos!M13," - ")</f>
        <v xml:space="preserve"> - </v>
      </c>
      <c r="AK13" s="697" t="str">
        <f>IF(ISNUMBER(Datos!N13),Datos!N13," - ")</f>
        <v xml:space="preserve"> - </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875</v>
      </c>
    </row>
    <row r="14" spans="1:72" ht="15.75" thickTop="1" thickBot="1">
      <c r="A14" s="191"/>
      <c r="B14" s="191"/>
      <c r="C14" s="1163" t="str">
        <f>Datos!A14</f>
        <v>TOTAL</v>
      </c>
      <c r="D14" s="1163"/>
      <c r="E14" s="1200">
        <f>SUBTOTAL(9,E8:E13)</f>
        <v>9</v>
      </c>
      <c r="F14" s="1200">
        <f>SUBTOTAL(9,F8:F13)</f>
        <v>76</v>
      </c>
      <c r="G14" s="1200">
        <f>SUBTOTAL(9,G8:G13)</f>
        <v>76</v>
      </c>
      <c r="H14" s="1214"/>
      <c r="I14" s="1200">
        <f t="shared" ref="I14:N14" si="1">SUBTOTAL(9,I8:I13)</f>
        <v>0</v>
      </c>
      <c r="J14" s="1167">
        <f t="shared" si="1"/>
        <v>0</v>
      </c>
      <c r="K14" s="1214">
        <f t="shared" si="1"/>
        <v>0</v>
      </c>
      <c r="L14" s="1214">
        <f t="shared" si="1"/>
        <v>0</v>
      </c>
      <c r="M14" s="1214">
        <f t="shared" si="1"/>
        <v>0</v>
      </c>
      <c r="N14" s="1214">
        <f t="shared" si="1"/>
        <v>1709</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25</v>
      </c>
      <c r="Z14" s="1213">
        <f t="shared" si="3"/>
        <v>1742</v>
      </c>
      <c r="AA14" s="1202">
        <f t="shared" si="3"/>
        <v>111</v>
      </c>
      <c r="AB14" s="1202">
        <f t="shared" si="3"/>
        <v>0</v>
      </c>
      <c r="AC14" s="1202">
        <f t="shared" si="3"/>
        <v>0</v>
      </c>
      <c r="AD14" s="1202">
        <f t="shared" si="3"/>
        <v>0</v>
      </c>
      <c r="AE14" s="1202">
        <f t="shared" si="3"/>
        <v>9772</v>
      </c>
      <c r="AF14" s="1214">
        <f t="shared" si="3"/>
        <v>0</v>
      </c>
      <c r="AG14" s="1214">
        <f t="shared" si="3"/>
        <v>0</v>
      </c>
      <c r="AH14" s="1214">
        <f t="shared" si="3"/>
        <v>0</v>
      </c>
      <c r="AI14" s="1214">
        <f t="shared" si="3"/>
        <v>0</v>
      </c>
      <c r="AJ14" s="1214">
        <f t="shared" si="3"/>
        <v>1441</v>
      </c>
      <c r="AK14" s="1214">
        <f t="shared" si="3"/>
        <v>1958</v>
      </c>
      <c r="AL14" s="1214">
        <f t="shared" si="3"/>
        <v>0</v>
      </c>
      <c r="AM14" s="1214">
        <f t="shared" si="3"/>
        <v>0</v>
      </c>
      <c r="AN14" s="1214">
        <f t="shared" si="3"/>
        <v>0</v>
      </c>
      <c r="AO14" s="1206">
        <f>IF(ISNUMBER(((NºAsuntos!I14/NºAsuntos!G14)*11)/factor_trimestre),((NºAsuntos!I14/NºAsuntos!G14)*11)/factor_trimestre," - ")</f>
        <v>15.655367231638417</v>
      </c>
      <c r="AP14" s="1216" t="str">
        <f>IF(ISNUMBER(Datos!CI14/Datos!CJ14),Datos!CI14/Datos!CJ14," - ")</f>
        <v xml:space="preserve"> - </v>
      </c>
      <c r="AQ14" s="1240">
        <f>SUBTOTAL(9,AQ9:AQ13)</f>
        <v>0</v>
      </c>
      <c r="AR14" s="1240">
        <f>SUBTOTAL(9,AR9:AR13)</f>
        <v>2.1518177163338453E-2</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0</v>
      </c>
      <c r="B16" s="750" t="s">
        <v>514</v>
      </c>
      <c r="C16" s="770" t="str">
        <f>Datos!A16</f>
        <v xml:space="preserve">Jdos. Instrucción                               </v>
      </c>
      <c r="D16" s="597"/>
      <c r="E16" s="752">
        <f>IF(ISNUMBER(Datos!AQ16),Datos!AQ16," - ")</f>
        <v>0</v>
      </c>
      <c r="F16" s="547" t="str">
        <f>IF(ISNUMBER(AA16+Y16-Datos!J16-K16),AA16+Y16-Datos!J16-K16," - ")</f>
        <v xml:space="preserve"> - </v>
      </c>
      <c r="G16" s="556" t="str">
        <f>IF(ISNUMBER(IF(D_I="SI",Datos!I16,Datos!I16+Datos!AC16)),IF(D_I="SI",Datos!I16,Datos!I16+Datos!AC16)," - ")</f>
        <v xml:space="preserve"> - </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0</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t="str">
        <f>IF(ISNUMBER(IF(D_I="SI",Datos!K16,Datos!K16+Datos!AE16)),IF(D_I="SI",Datos!K16,Datos!K16+Datos!AE16)," - ")</f>
        <v xml:space="preserve"> - </v>
      </c>
      <c r="Z16" s="810" t="str">
        <f>IF(ISNUMBER(Datos!Q16),Datos!Q16," - ")</f>
        <v xml:space="preserve"> - </v>
      </c>
      <c r="AA16" s="555" t="str">
        <f>IF(ISNUMBER(IF(D_I="SI",Datos!L16,Datos!L16+Datos!AF16)),IF(D_I="SI",Datos!L16,Datos!L16+Datos!AF16)," - ")</f>
        <v xml:space="preserve"> - </v>
      </c>
      <c r="AB16" s="553"/>
      <c r="AC16" s="553"/>
      <c r="AD16" s="567"/>
      <c r="AE16" s="567" t="str">
        <f>IF(ISNUMBER(Datos!R16),Datos!R16," - ")</f>
        <v xml:space="preserve"> - </v>
      </c>
      <c r="AF16" s="697" t="str">
        <f>IF(ISNUMBER(Datos!BV16),Datos!BV16," - ")</f>
        <v xml:space="preserve"> - </v>
      </c>
      <c r="AG16" s="556"/>
      <c r="AH16" s="557"/>
      <c r="AI16" s="558"/>
      <c r="AJ16" s="556" t="str">
        <f>IF(ISNUMBER(Datos!M16),Datos!M16," - ")</f>
        <v xml:space="preserve"> - </v>
      </c>
      <c r="AK16" s="697" t="str">
        <f>IF(ISNUMBER(Datos!N16),Datos!N16," - ")</f>
        <v xml:space="preserve"> - </v>
      </c>
      <c r="AL16" s="697" t="str">
        <f>IF(ISNUMBER(Datos!BW16),Datos!BW16," - ")</f>
        <v xml:space="preserve"> - </v>
      </c>
      <c r="AM16" s="767" t="str">
        <f>IF(ISNUMBER(Datos!BX16),Datos!BX16," - ")</f>
        <v xml:space="preserve"> - </v>
      </c>
      <c r="AN16" s="768"/>
      <c r="AO16" s="769" t="str">
        <f>IF(ISNUMBER(((NºAsuntos!I16/NºAsuntos!G16)*11)/factor_trimestre),((NºAsuntos!I16/NºAsuntos!G16)*11)/factor_trimestre," - ")</f>
        <v xml:space="preserve"> - </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3300</v>
      </c>
    </row>
    <row r="17" spans="1:72" s="582" customFormat="1" ht="14.25">
      <c r="A17" s="749">
        <f>Datos!AO17</f>
        <v>9</v>
      </c>
      <c r="B17" s="750" t="s">
        <v>514</v>
      </c>
      <c r="C17" s="770" t="str">
        <f>Datos!A17</f>
        <v xml:space="preserve">Jdos. 1ª Instª. e Instr.                        </v>
      </c>
      <c r="D17" s="597"/>
      <c r="E17" s="752">
        <f>IF(ISNUMBER(Datos!AQ17),Datos!AQ17," - ")</f>
        <v>9</v>
      </c>
      <c r="F17" s="547">
        <f>IF(ISNUMBER(AA17+Y17-Datos!J17-K16),AA17+Y17-Datos!J17-K16," - ")</f>
        <v>2707</v>
      </c>
      <c r="G17" s="556">
        <f>IF(ISNUMBER(IF(D_I="SI",Datos!I17,Datos!I17+Datos!AC17)),IF(D_I="SI",Datos!I17,Datos!I17+Datos!AC17)," - ")</f>
        <v>3086</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348</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f>IF(ISNUMBER(IF(D_I="SI",Datos!K17,Datos!K17+Datos!AE17)),IF(D_I="SI",Datos!K17,Datos!K17+Datos!AE17)," - ")</f>
        <v>7449</v>
      </c>
      <c r="Z17" s="810">
        <f>IF(ISNUMBER(Datos!Q17),Datos!Q17," - ")</f>
        <v>252</v>
      </c>
      <c r="AA17" s="555">
        <f>IF(ISNUMBER(IF(D_I="SI",Datos!L17,Datos!L17+Datos!AF17)),IF(D_I="SI",Datos!L17,Datos!L17+Datos!AF17)," - ")</f>
        <v>3639</v>
      </c>
      <c r="AB17" s="553"/>
      <c r="AC17" s="553"/>
      <c r="AD17" s="567"/>
      <c r="AE17" s="567">
        <f>IF(ISNUMBER(Datos!R17),Datos!R17," - ")</f>
        <v>428</v>
      </c>
      <c r="AF17" s="697" t="str">
        <f>IF(ISNUMBER(Datos!BV17),Datos!BV17," - ")</f>
        <v xml:space="preserve"> - </v>
      </c>
      <c r="AG17" s="556"/>
      <c r="AH17" s="557"/>
      <c r="AI17" s="558"/>
      <c r="AJ17" s="556">
        <f>IF(ISNUMBER(Datos!M17),Datos!M17," - ")</f>
        <v>1024</v>
      </c>
      <c r="AK17" s="697">
        <f>IF(ISNUMBER(Datos!N17),Datos!N17," - ")</f>
        <v>4297</v>
      </c>
      <c r="AL17" s="697" t="str">
        <f>IF(ISNUMBER(Datos!BW17),Datos!BW17," - ")</f>
        <v xml:space="preserve"> - </v>
      </c>
      <c r="AM17" s="767" t="str">
        <f>IF(ISNUMBER(Datos!BX17),Datos!BX17," - ")</f>
        <v xml:space="preserve"> - </v>
      </c>
      <c r="AN17" s="768"/>
      <c r="AO17" s="769">
        <f>IF(ISNUMBER(((NºAsuntos!I17/NºAsuntos!G17)*11)/factor_trimestre),((NºAsuntos!I17/NºAsuntos!G17)*11)/factor_trimestre," - ")</f>
        <v>5.3737414418042686</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1000</v>
      </c>
    </row>
    <row r="18" spans="1:72" s="582" customFormat="1" ht="14.25">
      <c r="A18" s="749">
        <f>Datos!AO18</f>
        <v>1</v>
      </c>
      <c r="B18" s="750" t="s">
        <v>514</v>
      </c>
      <c r="C18" s="751" t="str">
        <f>Datos!A18</f>
        <v>Jdos. Violencia contra la mujer</v>
      </c>
      <c r="D18" s="605"/>
      <c r="E18" s="752">
        <f>IF(ISNUMBER(Datos!AQ18),Datos!AQ18," - ")</f>
        <v>0</v>
      </c>
      <c r="F18" s="556" t="str">
        <f>IF(ISNUMBER(AA18+Y18-I18-K18),AA18+Y18-I18-K18," - ")</f>
        <v xml:space="preserve"> - </v>
      </c>
      <c r="G18" s="847">
        <f>IF(ISNUMBER(IF(D_I="SI",Datos!I18,Datos!I18+Datos!AC18)),IF(D_I="SI",Datos!I18,Datos!I18+Datos!AC18)," - ")</f>
        <v>253</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0</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375</v>
      </c>
      <c r="Z18" s="810">
        <f>IF(ISNUMBER(Datos!Q18),Datos!Q18," - ")</f>
        <v>0</v>
      </c>
      <c r="AA18" s="555">
        <f>IF(ISNUMBER(Datos!L18),Datos!L18,"-")</f>
        <v>256</v>
      </c>
      <c r="AB18" s="553"/>
      <c r="AC18" s="553"/>
      <c r="AD18" s="567"/>
      <c r="AE18" s="567">
        <f>IF(ISNUMBER(Datos!R18),Datos!R18," - ")</f>
        <v>3</v>
      </c>
      <c r="AF18" s="697" t="str">
        <f>IF(ISNUMBER(Datos!BV18),Datos!BV18," - ")</f>
        <v xml:space="preserve"> - </v>
      </c>
      <c r="AG18" s="556" t="str">
        <f>IF(ISNUMBER(Datos!DV18),Datos!DV18," - ")</f>
        <v xml:space="preserve"> - </v>
      </c>
      <c r="AH18" s="557"/>
      <c r="AI18" s="558"/>
      <c r="AJ18" s="556">
        <f>IF(ISNUMBER(Datos!M18),Datos!M18," - ")</f>
        <v>11</v>
      </c>
      <c r="AK18" s="697">
        <f>IF(ISNUMBER(Datos!N18),Datos!N18," - ")</f>
        <v>115</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7.5093333333333332</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1600</v>
      </c>
    </row>
    <row r="19" spans="1:72" s="582" customFormat="1" ht="14.25">
      <c r="A19" s="749">
        <f>Datos!AO19</f>
        <v>0</v>
      </c>
      <c r="B19" s="750" t="s">
        <v>514</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t="str">
        <f>IF(ISNUMBER((Datos!P19-Datos!Q19+O19)/(Datos!R19-Datos!P19+Datos!Q19-O19)),(Datos!P19-Datos!Q19+O19)/(Datos!R19-Datos!P19+Datos!Q19-O19)," - ")</f>
        <v xml:space="preserve"> - </v>
      </c>
      <c r="AS19" s="753"/>
      <c r="AT19" s="721" t="str">
        <f>IF(ISNUMBER(Datos!EI19),Datos!EI19," - ")</f>
        <v xml:space="preserve"> - </v>
      </c>
      <c r="AU19" s="721"/>
      <c r="AV19" s="721"/>
      <c r="AW19" s="568"/>
      <c r="BT19" s="1382">
        <f>Datos!ER19/factor_trimestre</f>
        <v>875</v>
      </c>
    </row>
    <row r="20" spans="1:72" s="582" customFormat="1" ht="14.25">
      <c r="A20" s="749">
        <f>Datos!AO20</f>
        <v>0</v>
      </c>
      <c r="B20" s="750" t="s">
        <v>514</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5240</v>
      </c>
    </row>
    <row r="21" spans="1:72" s="582" customFormat="1" ht="14.25">
      <c r="A21" s="749">
        <f>Datos!AO21</f>
        <v>4</v>
      </c>
      <c r="B21" s="750" t="s">
        <v>514</v>
      </c>
      <c r="C21" s="751" t="str">
        <f>Datos!A21</f>
        <v xml:space="preserve">Jdos. de lo Penal                               </v>
      </c>
      <c r="D21" s="605"/>
      <c r="E21" s="752">
        <f>IF(ISNUMBER(Datos!AQ21),Datos!AQ21," - ")</f>
        <v>4</v>
      </c>
      <c r="F21" s="556">
        <f>IF(ISNUMBER(Datos!L21+Datos!K21-Datos!J21),Datos!L21+Datos!K21-Datos!J21," - ")</f>
        <v>2408</v>
      </c>
      <c r="G21" s="556">
        <f>IF(ISNUMBER(Datos!I21),Datos!I21," - ")</f>
        <v>2408</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2150</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f>IF(ISNUMBER(Datos!K21),Datos!K21," - ")</f>
        <v>1978</v>
      </c>
      <c r="Z21" s="810">
        <f>IF(ISNUMBER(Datos!Q21),Datos!Q21," - ")</f>
        <v>2910</v>
      </c>
      <c r="AA21" s="555">
        <f>IF(ISNUMBER(Datos!L21),Datos!L21,"-")</f>
        <v>2323</v>
      </c>
      <c r="AB21" s="553"/>
      <c r="AC21" s="553"/>
      <c r="AD21" s="567"/>
      <c r="AE21" s="567">
        <f>IF(ISNUMBER(Datos!R21),Datos!R21," - ")</f>
        <v>5839</v>
      </c>
      <c r="AF21" s="697" t="str">
        <f>IF(ISNUMBER(Datos!BV21),Datos!BV21," - ")</f>
        <v xml:space="preserve"> - </v>
      </c>
      <c r="AG21" s="556"/>
      <c r="AH21" s="557"/>
      <c r="AI21" s="558"/>
      <c r="AJ21" s="556">
        <f>IF(ISNUMBER(Datos!M21),Datos!M21," - ")</f>
        <v>1831</v>
      </c>
      <c r="AK21" s="697"/>
      <c r="AL21" s="697" t="str">
        <f>IF(ISNUMBER(Datos!BW21),Datos!BW21," - ")</f>
        <v xml:space="preserve"> - </v>
      </c>
      <c r="AM21" s="767" t="str">
        <f>IF(ISNUMBER(Datos!BX21),Datos!BX21," - ")</f>
        <v xml:space="preserve"> - </v>
      </c>
      <c r="AN21" s="768"/>
      <c r="AO21" s="769">
        <f>IF(ISNUMBER(((NºAsuntos!I21/NºAsuntos!G21)*11)/factor_trimestre),((NºAsuntos!I21/NºAsuntos!G21)*11)/factor_trimestre," - ")</f>
        <v>12.918604651162791</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400</v>
      </c>
    </row>
    <row r="22" spans="1:72" s="582" customFormat="1" ht="15" thickBot="1">
      <c r="A22" s="749">
        <f>Datos!AO22</f>
        <v>0</v>
      </c>
      <c r="B22" s="750" t="s">
        <v>514</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2400</v>
      </c>
    </row>
    <row r="23" spans="1:72" ht="15.75" thickTop="1" thickBot="1">
      <c r="A23" s="191"/>
      <c r="B23" s="191"/>
      <c r="C23" s="1163" t="str">
        <f>Datos!A23</f>
        <v>TOTAL</v>
      </c>
      <c r="D23" s="1163"/>
      <c r="E23" s="1244">
        <f>SUBTOTAL(9,E16:E22)</f>
        <v>13</v>
      </c>
      <c r="F23" s="1200">
        <f>SUBTOTAL(9,F16:F22)</f>
        <v>5115</v>
      </c>
      <c r="G23" s="1200">
        <f>SUBTOTAL(9,G16:G22)</f>
        <v>5747</v>
      </c>
      <c r="H23" s="1245">
        <f>SUBTOTAL(9,H16:H22)</f>
        <v>0</v>
      </c>
      <c r="I23" s="1220">
        <f>SUBTOTAL(9,I16:I22)</f>
        <v>0</v>
      </c>
      <c r="J23" s="1167">
        <f>SUBTOTAL(9,J15:J22)</f>
        <v>0</v>
      </c>
      <c r="K23" s="1245">
        <f t="shared" ref="K23:S23" si="4">SUBTOTAL(9,K16:K22)</f>
        <v>0</v>
      </c>
      <c r="L23" s="1245">
        <f t="shared" si="4"/>
        <v>0</v>
      </c>
      <c r="M23" s="1245">
        <f t="shared" si="4"/>
        <v>0</v>
      </c>
      <c r="N23" s="1245">
        <f t="shared" si="4"/>
        <v>2498</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9802</v>
      </c>
      <c r="Z23" s="1245">
        <f t="shared" si="5"/>
        <v>3162</v>
      </c>
      <c r="AA23" s="1245">
        <f t="shared" si="5"/>
        <v>6218</v>
      </c>
      <c r="AB23" s="1245">
        <f t="shared" si="5"/>
        <v>0</v>
      </c>
      <c r="AC23" s="1245">
        <f t="shared" si="5"/>
        <v>0</v>
      </c>
      <c r="AD23" s="1245">
        <f t="shared" si="5"/>
        <v>0</v>
      </c>
      <c r="AE23" s="1245">
        <f t="shared" si="5"/>
        <v>6270</v>
      </c>
      <c r="AF23" s="1245">
        <f t="shared" si="5"/>
        <v>0</v>
      </c>
      <c r="AG23" s="1245">
        <f t="shared" si="5"/>
        <v>0</v>
      </c>
      <c r="AH23" s="1245">
        <f t="shared" si="5"/>
        <v>0</v>
      </c>
      <c r="AI23" s="1245">
        <f t="shared" si="5"/>
        <v>0</v>
      </c>
      <c r="AJ23" s="1245">
        <f t="shared" si="5"/>
        <v>2866</v>
      </c>
      <c r="AK23" s="1245">
        <f t="shared" si="5"/>
        <v>4412</v>
      </c>
      <c r="AL23" s="1245">
        <f t="shared" si="5"/>
        <v>0</v>
      </c>
      <c r="AM23" s="1245">
        <f t="shared" si="5"/>
        <v>0</v>
      </c>
      <c r="AN23" s="1245">
        <f t="shared" si="5"/>
        <v>0</v>
      </c>
      <c r="AO23" s="1247">
        <f>IF(ISNUMBER(((NºAsuntos!I23/NºAsuntos!G23)*11)/factor_trimestre),((NºAsuntos!I23/NºAsuntos!G23)*11)/factor_trimestre," - ")</f>
        <v>6.9779636808814525</v>
      </c>
      <c r="AP23" s="1242" t="str">
        <f>IF(ISNUMBER(Datos!CI23/Datos!CJ23),Datos!CI23/Datos!CJ23," - ")</f>
        <v xml:space="preserve"> - </v>
      </c>
      <c r="AQ23" s="1248">
        <f>SUBTOTAL(9,AQ16:AQ22)</f>
        <v>0</v>
      </c>
      <c r="AR23" s="1248">
        <f>SUBTOTAL(9,AR16:AR22)</f>
        <v>0</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0</v>
      </c>
      <c r="B25" s="604" t="s">
        <v>515</v>
      </c>
      <c r="C25" s="7" t="str">
        <f>Datos!A25</f>
        <v xml:space="preserve">Jdos Cont.-Admvo.                               </v>
      </c>
      <c r="D25" s="566"/>
      <c r="E25" s="721">
        <f>IF(ISNUMBER(Datos!AQ25),Datos!AQ25," - ")</f>
        <v>0</v>
      </c>
      <c r="F25" s="556" t="str">
        <f>IF(ISNUMBER(Datos!L25+Datos!K25-Datos!J25),Datos!L25+Datos!K25-Datos!J25," - ")</f>
        <v xml:space="preserve"> - </v>
      </c>
      <c r="G25" s="556" t="str">
        <f>IF(ISNUMBER(Datos!I25),Datos!I25," - ")</f>
        <v xml:space="preserve"> - </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t="str">
        <f>IF(ISNUMBER(Datos!L25),Datos!L25,"-")</f>
        <v>-</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5" t="str">
        <f>IF(ISNUMBER(Datos!K25/Datos!J25),Datos!K25/Datos!J25," - ")</f>
        <v xml:space="preserve"> - </v>
      </c>
      <c r="AO25" s="406" t="str">
        <f>IF(ISNUMBER(((Datos!L25/Datos!K25)*11)/factor_trimestre),((Datos!L25/Datos!K25)*11)/factor_trimestre," - ")</f>
        <v xml:space="preserve"> - </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570</v>
      </c>
    </row>
    <row r="26" spans="1:72" ht="15.75" thickTop="1" thickBot="1">
      <c r="A26" s="191"/>
      <c r="B26" s="191"/>
      <c r="C26" s="1163" t="str">
        <f>Datos!A26</f>
        <v>TOTAL</v>
      </c>
      <c r="D26" s="1163"/>
      <c r="E26" s="1200">
        <f t="shared" ref="E26:S26" si="6">SUBTOTAL(9,E25:E25)</f>
        <v>0</v>
      </c>
      <c r="F26" s="1200">
        <f t="shared" si="6"/>
        <v>0</v>
      </c>
      <c r="G26" s="1200">
        <f t="shared" si="6"/>
        <v>0</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0</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0</v>
      </c>
      <c r="AK26" s="1255">
        <f t="shared" si="7"/>
        <v>0</v>
      </c>
      <c r="AL26" s="1221">
        <f t="shared" si="7"/>
        <v>0</v>
      </c>
      <c r="AM26" s="1257">
        <f t="shared" si="7"/>
        <v>0</v>
      </c>
      <c r="AN26" s="1222" t="str">
        <f>IF(ISNUMBER(Datos!K26/Datos!J26),Datos!K26/Datos!J26," - ")</f>
        <v xml:space="preserve"> - </v>
      </c>
      <c r="AO26" s="1222" t="str">
        <f>IF(ISNUMBER(((Datos!L26/Datos!K26)*11)/factor_trimestre),((Datos!L26/Datos!K26)*11)/factor_trimestre," - ")</f>
        <v xml:space="preserve"> - </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0</v>
      </c>
      <c r="B28" s="604" t="s">
        <v>516</v>
      </c>
      <c r="C28" s="7" t="str">
        <f>Datos!A28</f>
        <v xml:space="preserve">Jdos. de lo Social                              </v>
      </c>
      <c r="D28" s="566"/>
      <c r="E28" s="721">
        <f>IF(ISNUMBER(Datos!AQ28),Datos!AQ28," - ")</f>
        <v>0</v>
      </c>
      <c r="F28" s="556" t="str">
        <f>IF(ISNUMBER(Datos!L28+Datos!K28-Datos!J28),Datos!L28+Datos!K28-Datos!J28," - ")</f>
        <v xml:space="preserve"> - </v>
      </c>
      <c r="G28" s="556" t="str">
        <f>IF(ISNUMBER(Datos!I28),Datos!I28," - ")</f>
        <v xml:space="preserve"> - </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0</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t="str">
        <f>IF(ISNUMBER(Datos!L28),Datos!L28,"-")</f>
        <v>-</v>
      </c>
      <c r="AB28" s="553"/>
      <c r="AC28" s="553"/>
      <c r="AD28" s="567"/>
      <c r="AE28" s="567" t="str">
        <f>IF(ISNUMBER(Datos!R28),Datos!R28," - ")</f>
        <v xml:space="preserve"> - </v>
      </c>
      <c r="AF28" s="243" t="str">
        <f>IF(ISNUMBER(Datos!BV28),Datos!BV28," - ")</f>
        <v xml:space="preserve"> - </v>
      </c>
      <c r="AG28" s="556"/>
      <c r="AH28" s="557"/>
      <c r="AI28" s="558"/>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5"/>
      <c r="AO28" s="406" t="str">
        <f>IF(ISNUMBER(((Datos!L28/Datos!K28)*11)/factor_trimestre),((Datos!L28/Datos!K28)*11)/factor_trimestre," - ")</f>
        <v xml:space="preserve"> - </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800</v>
      </c>
    </row>
    <row r="29" spans="1:72" ht="15" thickBot="1">
      <c r="A29" s="596">
        <f>Datos!AO29</f>
        <v>0</v>
      </c>
      <c r="B29" s="604" t="s">
        <v>516</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3500</v>
      </c>
    </row>
    <row r="30" spans="1:72" ht="15.75" thickTop="1" thickBot="1">
      <c r="A30" s="191"/>
      <c r="B30" s="191"/>
      <c r="C30" s="1163" t="str">
        <f>Datos!A30</f>
        <v>TOTAL</v>
      </c>
      <c r="D30" s="1163"/>
      <c r="E30" s="1200">
        <f t="shared" ref="E30:S30" si="8">SUBTOTAL(9,E28:E29)</f>
        <v>0</v>
      </c>
      <c r="F30" s="1200">
        <f t="shared" si="8"/>
        <v>0</v>
      </c>
      <c r="G30" s="1200">
        <f t="shared" si="8"/>
        <v>0</v>
      </c>
      <c r="H30" s="1214">
        <f t="shared" si="8"/>
        <v>0</v>
      </c>
      <c r="I30" s="1200">
        <f t="shared" si="8"/>
        <v>0</v>
      </c>
      <c r="J30" s="1170">
        <f t="shared" si="8"/>
        <v>0</v>
      </c>
      <c r="K30" s="1200">
        <f t="shared" si="8"/>
        <v>0</v>
      </c>
      <c r="L30" s="1200">
        <f t="shared" si="8"/>
        <v>0</v>
      </c>
      <c r="M30" s="1200">
        <f t="shared" si="8"/>
        <v>0</v>
      </c>
      <c r="N30" s="1200">
        <f t="shared" si="8"/>
        <v>0</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0</v>
      </c>
      <c r="AB30" s="1202">
        <f t="shared" si="9"/>
        <v>0</v>
      </c>
      <c r="AC30" s="1202">
        <f t="shared" si="9"/>
        <v>0</v>
      </c>
      <c r="AD30" s="1213">
        <f t="shared" si="9"/>
        <v>0</v>
      </c>
      <c r="AE30" s="1213">
        <f t="shared" si="9"/>
        <v>0</v>
      </c>
      <c r="AF30" s="1214">
        <f t="shared" si="9"/>
        <v>0</v>
      </c>
      <c r="AG30" s="1200">
        <f t="shared" si="9"/>
        <v>0</v>
      </c>
      <c r="AH30" s="1215">
        <f t="shared" si="9"/>
        <v>0</v>
      </c>
      <c r="AI30" s="1210">
        <f t="shared" si="9"/>
        <v>0</v>
      </c>
      <c r="AJ30" s="1200">
        <f t="shared" si="9"/>
        <v>0</v>
      </c>
      <c r="AK30" s="1214">
        <f t="shared" si="9"/>
        <v>0</v>
      </c>
      <c r="AL30" s="1201">
        <f t="shared" si="9"/>
        <v>0</v>
      </c>
      <c r="AM30" s="1210">
        <f t="shared" si="9"/>
        <v>0</v>
      </c>
      <c r="AN30" s="1206" t="str">
        <f>IF(ISNUMBER(NºAsuntos!G30/NºAsuntos!E30),NºAsuntos!G30/NºAsuntos!E30," - ")</f>
        <v xml:space="preserve"> - </v>
      </c>
      <c r="AO30" s="1222" t="str">
        <f>IF(ISNUMBER(((Datos!L30/Datos!K30)*11)/factor_trimestre),((Datos!L30/Datos!K30)*11)/factor_trimestre," - ")</f>
        <v xml:space="preserve"> - </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22</v>
      </c>
      <c r="F31" s="1120">
        <f t="shared" si="10"/>
        <v>5191</v>
      </c>
      <c r="G31" s="1120">
        <f t="shared" si="10"/>
        <v>5823</v>
      </c>
      <c r="H31" s="1121">
        <f t="shared" si="10"/>
        <v>0</v>
      </c>
      <c r="I31" s="1120">
        <f t="shared" si="10"/>
        <v>0</v>
      </c>
      <c r="J31" s="1122">
        <f t="shared" si="10"/>
        <v>0</v>
      </c>
      <c r="K31" s="1120">
        <f t="shared" si="10"/>
        <v>0</v>
      </c>
      <c r="L31" s="1123">
        <f t="shared" si="10"/>
        <v>0</v>
      </c>
      <c r="M31" s="1120">
        <f t="shared" si="10"/>
        <v>0</v>
      </c>
      <c r="N31" s="1121">
        <f t="shared" si="10"/>
        <v>4207</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9827</v>
      </c>
      <c r="Z31" s="1127">
        <f t="shared" si="11"/>
        <v>4904</v>
      </c>
      <c r="AA31" s="1128">
        <f t="shared" si="11"/>
        <v>6329</v>
      </c>
      <c r="AB31" s="1128">
        <f t="shared" si="11"/>
        <v>0</v>
      </c>
      <c r="AC31" s="1128">
        <f t="shared" si="11"/>
        <v>0</v>
      </c>
      <c r="AD31" s="1129">
        <f t="shared" si="11"/>
        <v>0</v>
      </c>
      <c r="AE31" s="1129">
        <f t="shared" si="11"/>
        <v>16042</v>
      </c>
      <c r="AF31" s="1130">
        <f t="shared" si="11"/>
        <v>0</v>
      </c>
      <c r="AG31" s="1131">
        <f t="shared" si="11"/>
        <v>0</v>
      </c>
      <c r="AH31" s="1132">
        <f t="shared" si="11"/>
        <v>0</v>
      </c>
      <c r="AI31" s="1130">
        <f t="shared" si="11"/>
        <v>0</v>
      </c>
      <c r="AJ31" s="1120">
        <f t="shared" si="11"/>
        <v>4307</v>
      </c>
      <c r="AK31" s="1120">
        <f t="shared" si="11"/>
        <v>6370</v>
      </c>
      <c r="AL31" s="1120">
        <f t="shared" si="11"/>
        <v>0</v>
      </c>
      <c r="AM31" s="1133">
        <f t="shared" si="11"/>
        <v>0</v>
      </c>
      <c r="AN31" s="1123">
        <f>IF(ISNUMBER(Datos!K31/Datos!J31),Datos!K31/Datos!J31," - ")</f>
        <v>0.85975575440373686</v>
      </c>
      <c r="AO31" s="1123">
        <f>IF(ISNUMBER(FIND("06",Criterios!A8,1)),(IF(ISNUMBER(((Datos!R31/Datos!Q31)*11)/factor_trimestre),((Datos!R31/Datos!Q31)*11)/factor_trimestre," - ")),(IF(ISNUMBER(((Datos!L31/Datos!K31)*11)/factor_trimestre),((Datos!L31/Datos!K31)*11)/factor_trimestre," - ")))</f>
        <v>10.341886496039798</v>
      </c>
      <c r="AP31" s="1134" t="str">
        <f>IF(ISNUMBER(Datos!CI31/Datos!CJ31),Datos!CI31/Datos!CJ31," - ")</f>
        <v xml:space="preserve"> - </v>
      </c>
      <c r="AQ31" s="1134">
        <f>IF(OR(ISNUMBER(FIND("01",Criterios!A8,1)),ISNUMBER(FIND("02",Criterios!A8,1)),ISNUMBER(FIND("03",Criterios!A8,1)),ISNUMBER(FIND("04",Criterios!A8,1))),(J31-Y31+K31)/(F31-K31),(I31-Y31+K31)/(F31-K31))</f>
        <v>-1.8930841841649009</v>
      </c>
      <c r="AR31" s="1134">
        <f>IF(ISNUMBER((Datos!P31-Datos!Q31+O31)/(Datos!R31-Datos!P31+Datos!Q31-O31)),(Datos!P31-Datos!Q31+O31)/(Datos!R31-Datos!P31+Datos!Q31-O31)," - ")</f>
        <v>-4.1639285500925979E-2</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343</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1455.75</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344</v>
      </c>
      <c r="D33" s="385"/>
      <c r="E33" s="719"/>
      <c r="F33" s="276">
        <f>IF(ISNUMBER(STDEV(F8:F30)),STDEV(F8:F30),"-")</f>
        <v>1995.9584521871047</v>
      </c>
      <c r="G33" s="678">
        <f>IF(ISNUMBER(STDEV(G8:G30)),STDEV(G8:G30),"-")</f>
        <v>2120.3694253596473</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1030.4732461889105</v>
      </c>
      <c r="AK33" s="276"/>
      <c r="AL33" s="276">
        <f>IF(ISNUMBER(STDEV(AL8:AL30)),STDEV(AL8:AL30),"-")</f>
        <v>0</v>
      </c>
      <c r="AM33" s="278">
        <f>IF(ISNUMBER(STDEV(AM8:AM30)),STDEV(AM8:AM30),"-")</f>
        <v>0</v>
      </c>
      <c r="AN33" s="664">
        <f>IF(ISNUMBER(STDEV(AN8:AN30)),STDEV(AN8:AN30),"-")</f>
        <v>0</v>
      </c>
      <c r="AO33" s="665">
        <f>IF(ISNUMBER(STDEV(AO8:AO30)),STDEV(AO8:AO30),"-")</f>
        <v>15.025722898664814</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1360.174036483497</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341</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342</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05 abr. 2022</v>
      </c>
    </row>
    <row r="43" spans="1:72">
      <c r="V43" s="1381"/>
    </row>
    <row r="44" spans="1:72" ht="13.5" thickBot="1">
      <c r="C44" s="659"/>
      <c r="D44" s="649"/>
      <c r="E44" s="649"/>
    </row>
    <row r="45" spans="1:72" ht="15" thickBot="1">
      <c r="L45" s="672"/>
    </row>
  </sheetData>
  <sheetProtection algorithmName="SHA-512" hashValue="mKKgUf599wvB1Kn3HTEhEqFcHxYyvmptB1oAV6iIqrtqBCFVVarSAfvj3kGET4rNOLBr3kO1Y77fKj2mIvLqnw==" saltValue="fJ3LkHu3TGrleOPqlOqIWA==" spinCount="100000" sheet="1" objects="1" scenarios="1"/>
  <mergeCells count="49">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831</v>
      </c>
      <c r="D3" s="819"/>
      <c r="E3" s="819"/>
      <c r="F3" s="819"/>
      <c r="G3" s="819" t="str">
        <f xml:space="preserve"> "Año: " &amp; Año &amp; "  Trimestres " &amp; TrimIni &amp; " al " &amp; TrimFin</f>
        <v>Año: 2021  Trimestres 1 al 4</v>
      </c>
      <c r="H3" s="820"/>
      <c r="I3" s="820"/>
      <c r="J3" s="820"/>
      <c r="K3" s="821"/>
      <c r="L3" s="821"/>
      <c r="M3" s="821"/>
      <c r="N3" s="821"/>
      <c r="O3" s="821"/>
      <c r="P3" s="821"/>
      <c r="Q3" s="821"/>
    </row>
    <row r="4" spans="1:18" ht="42" customHeight="1" thickBot="1">
      <c r="A4" s="1898" t="s">
        <v>832</v>
      </c>
      <c r="B4" s="1898" t="s">
        <v>942</v>
      </c>
      <c r="C4" s="1898" t="s">
        <v>833</v>
      </c>
      <c r="D4" s="1898" t="s">
        <v>900</v>
      </c>
      <c r="E4" s="1900" t="s">
        <v>901</v>
      </c>
      <c r="F4" s="1898" t="s">
        <v>834</v>
      </c>
      <c r="G4" s="1900" t="s">
        <v>600</v>
      </c>
      <c r="H4" s="1893" t="s">
        <v>835</v>
      </c>
      <c r="I4" s="1893" t="s">
        <v>836</v>
      </c>
      <c r="J4" s="1893" t="s">
        <v>837</v>
      </c>
      <c r="K4" s="1895" t="s">
        <v>351</v>
      </c>
      <c r="L4" s="1896"/>
      <c r="M4" s="1896"/>
      <c r="N4" s="1897"/>
      <c r="O4" s="1895" t="s">
        <v>595</v>
      </c>
      <c r="P4" s="1896"/>
      <c r="Q4" s="1896"/>
      <c r="R4" s="1897"/>
    </row>
    <row r="5" spans="1:18" ht="27.75" customHeight="1" thickBot="1">
      <c r="A5" s="1899"/>
      <c r="B5" s="1899"/>
      <c r="C5" s="1899"/>
      <c r="D5" s="1899"/>
      <c r="E5" s="1899"/>
      <c r="F5" s="1899"/>
      <c r="G5" s="1899"/>
      <c r="H5" s="1894"/>
      <c r="I5" s="1894"/>
      <c r="J5" s="1894"/>
      <c r="K5" s="1146" t="s">
        <v>596</v>
      </c>
      <c r="L5" s="1146" t="s">
        <v>597</v>
      </c>
      <c r="M5" s="1146" t="s">
        <v>598</v>
      </c>
      <c r="N5" s="1146" t="s">
        <v>599</v>
      </c>
      <c r="O5" s="1147" t="s">
        <v>596</v>
      </c>
      <c r="P5" s="1146" t="s">
        <v>597</v>
      </c>
      <c r="Q5" s="1146" t="s">
        <v>598</v>
      </c>
      <c r="R5" s="1146" t="s">
        <v>599</v>
      </c>
    </row>
  </sheetData>
  <sheetProtection algorithmName="SHA-512" hashValue="7y4tme3btPckgs+3wVaIs+a4GEMgPzvHPjHnxaQfKTzpM5EIXWzc94pk9aHDTsbFefVhIZFtkngDGQiMOEyV3A==" saltValue="IQav5LcJErMcwl3ojjjN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O12" sqref="EO12"/>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518</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300</v>
      </c>
      <c r="BK1" s="53" t="s">
        <v>305</v>
      </c>
      <c r="BL1" s="32" t="s">
        <v>306</v>
      </c>
      <c r="BM1" s="31" t="s">
        <v>311</v>
      </c>
      <c r="BN1" s="53" t="s">
        <v>335</v>
      </c>
      <c r="BO1" s="32" t="s">
        <v>336</v>
      </c>
      <c r="BP1" s="31" t="s">
        <v>337</v>
      </c>
      <c r="BQ1" s="53" t="s">
        <v>339</v>
      </c>
      <c r="BR1" s="32" t="s">
        <v>345</v>
      </c>
      <c r="BS1" s="31" t="s">
        <v>346</v>
      </c>
      <c r="BT1" s="53" t="s">
        <v>347</v>
      </c>
      <c r="BU1" s="32" t="s">
        <v>361</v>
      </c>
      <c r="BV1" s="31" t="s">
        <v>362</v>
      </c>
      <c r="BW1" s="53" t="s">
        <v>363</v>
      </c>
      <c r="BX1" s="32" t="s">
        <v>368</v>
      </c>
      <c r="BY1" s="31" t="s">
        <v>370</v>
      </c>
      <c r="BZ1" s="53" t="s">
        <v>380</v>
      </c>
      <c r="CA1" s="32" t="s">
        <v>381</v>
      </c>
      <c r="CB1" s="31" t="s">
        <v>466</v>
      </c>
      <c r="CC1" s="53" t="s">
        <v>469</v>
      </c>
      <c r="CD1" s="32" t="s">
        <v>471</v>
      </c>
      <c r="CE1" s="31" t="s">
        <v>481</v>
      </c>
      <c r="CF1" s="53" t="s">
        <v>482</v>
      </c>
      <c r="CG1" s="32" t="s">
        <v>483</v>
      </c>
      <c r="CH1" s="31" t="s">
        <v>484</v>
      </c>
      <c r="CI1" s="53" t="s">
        <v>508</v>
      </c>
      <c r="CJ1" s="32" t="s">
        <v>510</v>
      </c>
      <c r="CK1" s="31" t="s">
        <v>295</v>
      </c>
      <c r="CL1" s="53" t="s">
        <v>414</v>
      </c>
      <c r="CM1" s="32" t="s">
        <v>419</v>
      </c>
      <c r="CN1" s="31" t="s">
        <v>440</v>
      </c>
      <c r="CO1" s="53" t="s">
        <v>441</v>
      </c>
      <c r="CP1" s="32" t="s">
        <v>458</v>
      </c>
      <c r="CQ1" s="31" t="s">
        <v>459</v>
      </c>
      <c r="CR1" s="32" t="s">
        <v>460</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532</v>
      </c>
      <c r="DF1" s="32" t="s">
        <v>62</v>
      </c>
      <c r="DG1" s="31" t="s">
        <v>594</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352</v>
      </c>
      <c r="CF4" s="1775"/>
      <c r="CG4" s="1775"/>
      <c r="CH4" s="1776"/>
    </row>
    <row r="5" spans="1:151" ht="12.75" customHeight="1" thickBot="1">
      <c r="A5" s="1800" t="str">
        <f>"Año:  " &amp;Criterios!B5 &amp; "                  Trimestre   " &amp;Criterios!D5 &amp; " al " &amp;Criterios!D6</f>
        <v>Año:  2021                  Trimestre   1 al 4</v>
      </c>
      <c r="B5" s="1802" t="s">
        <v>519</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309</v>
      </c>
      <c r="AV5" s="1789" t="s">
        <v>307</v>
      </c>
      <c r="AW5" s="1789" t="s">
        <v>310</v>
      </c>
      <c r="AX5" s="1789" t="s">
        <v>308</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415</v>
      </c>
      <c r="BN5" s="1607" t="s">
        <v>265</v>
      </c>
      <c r="BO5" s="1608"/>
      <c r="BP5" s="1607" t="s">
        <v>266</v>
      </c>
      <c r="BQ5" s="1608"/>
      <c r="BR5" s="1607" t="s">
        <v>267</v>
      </c>
      <c r="BS5" s="1608"/>
      <c r="BT5" s="1607" t="s">
        <v>268</v>
      </c>
      <c r="BU5" s="1608"/>
      <c r="BV5" s="1791" t="s">
        <v>351</v>
      </c>
      <c r="BW5" s="1797" t="s">
        <v>329</v>
      </c>
      <c r="BX5" s="1797" t="s">
        <v>330</v>
      </c>
      <c r="BY5" s="1780" t="s">
        <v>338</v>
      </c>
      <c r="BZ5" s="1780" t="s">
        <v>465</v>
      </c>
      <c r="CA5" s="1767" t="s">
        <v>367</v>
      </c>
      <c r="CB5" s="1767" t="s">
        <v>358</v>
      </c>
      <c r="CC5" s="1767" t="s">
        <v>359</v>
      </c>
      <c r="CD5" s="1767" t="s">
        <v>360</v>
      </c>
      <c r="CE5" s="1755" t="s">
        <v>371</v>
      </c>
      <c r="CF5" s="1755" t="s">
        <v>350</v>
      </c>
      <c r="CG5" s="1755" t="s">
        <v>348</v>
      </c>
      <c r="CH5" s="1755" t="s">
        <v>349</v>
      </c>
      <c r="CI5" s="1771" t="s">
        <v>378</v>
      </c>
      <c r="CJ5" s="1771" t="s">
        <v>379</v>
      </c>
      <c r="CK5" s="1746" t="s">
        <v>549</v>
      </c>
      <c r="CL5" s="1746" t="s">
        <v>550</v>
      </c>
      <c r="CM5" s="1746" t="s">
        <v>588</v>
      </c>
      <c r="CN5" s="1768" t="s">
        <v>487</v>
      </c>
      <c r="CO5" s="1768" t="s">
        <v>480</v>
      </c>
      <c r="CP5" s="1768" t="s">
        <v>486</v>
      </c>
      <c r="CQ5" s="1761" t="s">
        <v>485</v>
      </c>
      <c r="CR5" s="1761" t="s">
        <v>485</v>
      </c>
      <c r="CS5" s="1755" t="s">
        <v>506</v>
      </c>
      <c r="CT5" s="1755" t="s">
        <v>509</v>
      </c>
      <c r="CU5" s="1755" t="s">
        <v>294</v>
      </c>
      <c r="CV5" s="1755" t="s">
        <v>407</v>
      </c>
      <c r="CW5" s="1755" t="s">
        <v>439</v>
      </c>
      <c r="CX5" s="1755" t="s">
        <v>450</v>
      </c>
      <c r="CY5" s="1755" t="s">
        <v>575</v>
      </c>
      <c r="CZ5" s="1755" t="s">
        <v>576</v>
      </c>
      <c r="DA5" s="1755" t="s">
        <v>577</v>
      </c>
      <c r="DB5" s="1727" t="s">
        <v>259</v>
      </c>
      <c r="DC5" s="1727" t="s">
        <v>260</v>
      </c>
      <c r="DD5" s="1727" t="s">
        <v>261</v>
      </c>
      <c r="DE5" s="1758" t="s">
        <v>232</v>
      </c>
      <c r="DF5" s="1758" t="s">
        <v>531</v>
      </c>
      <c r="DG5" s="1755" t="s">
        <v>590</v>
      </c>
      <c r="DH5" s="1746" t="s">
        <v>549</v>
      </c>
      <c r="DI5" s="1746" t="s">
        <v>550</v>
      </c>
      <c r="DJ5" s="1746" t="s">
        <v>587</v>
      </c>
      <c r="DK5" s="1746" t="s">
        <v>641</v>
      </c>
      <c r="DL5" s="1746" t="s">
        <v>645</v>
      </c>
      <c r="DM5" s="1745" t="s">
        <v>710</v>
      </c>
      <c r="DN5" s="1745" t="s">
        <v>711</v>
      </c>
      <c r="DO5" s="1745" t="s">
        <v>712</v>
      </c>
      <c r="DP5" s="1745" t="s">
        <v>713</v>
      </c>
      <c r="DQ5" s="1745" t="s">
        <v>714</v>
      </c>
      <c r="DR5" s="1745" t="s">
        <v>715</v>
      </c>
      <c r="DS5" s="1745" t="s">
        <v>716</v>
      </c>
      <c r="DT5" s="1745" t="s">
        <v>717</v>
      </c>
      <c r="DU5" s="1764" t="s">
        <v>718</v>
      </c>
      <c r="DV5" s="1752" t="s">
        <v>719</v>
      </c>
      <c r="DW5" s="1749" t="s">
        <v>720</v>
      </c>
      <c r="DX5" s="1745" t="s">
        <v>721</v>
      </c>
      <c r="DY5" s="1733" t="s">
        <v>722</v>
      </c>
      <c r="DZ5" s="1749" t="s">
        <v>723</v>
      </c>
      <c r="EA5" s="1733" t="s">
        <v>724</v>
      </c>
      <c r="EB5" s="1742" t="s">
        <v>784</v>
      </c>
      <c r="EC5" s="1742" t="s">
        <v>785</v>
      </c>
      <c r="ED5" s="1742" t="s">
        <v>786</v>
      </c>
      <c r="EE5" s="1742" t="s">
        <v>826</v>
      </c>
      <c r="EF5" s="1742" t="s">
        <v>830</v>
      </c>
      <c r="EG5" s="1733" t="s">
        <v>828</v>
      </c>
      <c r="EH5" s="1733" t="s">
        <v>829</v>
      </c>
      <c r="EI5" s="1733" t="s">
        <v>788</v>
      </c>
      <c r="EJ5" s="1733" t="s">
        <v>789</v>
      </c>
      <c r="EK5" s="1730" t="s">
        <v>877</v>
      </c>
      <c r="EL5" s="1736" t="s">
        <v>895</v>
      </c>
      <c r="EM5" s="1737"/>
      <c r="EN5" s="1738"/>
      <c r="EO5" s="1727" t="s">
        <v>1001</v>
      </c>
      <c r="EP5" s="1727" t="s">
        <v>1003</v>
      </c>
      <c r="EQ5" s="1727" t="s">
        <v>1004</v>
      </c>
      <c r="ER5" s="1727" t="s">
        <v>1018</v>
      </c>
      <c r="ES5" s="1727" t="s">
        <v>1020</v>
      </c>
      <c r="ET5" s="1724" t="s">
        <v>1137</v>
      </c>
      <c r="EU5" s="1724" t="s">
        <v>1138</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t="s">
        <v>225</v>
      </c>
      <c r="BO6" s="1605" t="s">
        <v>226</v>
      </c>
      <c r="BP6" s="1605" t="s">
        <v>225</v>
      </c>
      <c r="BQ6" s="1605" t="s">
        <v>226</v>
      </c>
      <c r="BR6" s="1605" t="s">
        <v>225</v>
      </c>
      <c r="BS6" s="1605" t="s">
        <v>226</v>
      </c>
      <c r="BT6" s="1605" t="s">
        <v>225</v>
      </c>
      <c r="BU6" s="1605" t="s">
        <v>226</v>
      </c>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1000</v>
      </c>
      <c r="B7" s="1804"/>
      <c r="C7" s="1807"/>
      <c r="D7" s="69" t="s">
        <v>520</v>
      </c>
      <c r="E7" s="70" t="s">
        <v>173</v>
      </c>
      <c r="F7" s="70" t="s">
        <v>172</v>
      </c>
      <c r="G7" s="131" t="s">
        <v>51</v>
      </c>
      <c r="H7" s="132" t="s">
        <v>521</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896</v>
      </c>
      <c r="EM7" s="854" t="s">
        <v>129</v>
      </c>
      <c r="EN7" s="854" t="s">
        <v>130</v>
      </c>
      <c r="EO7" s="1729"/>
      <c r="EP7" s="1729"/>
      <c r="EQ7" s="1729"/>
      <c r="ER7" s="1729"/>
      <c r="ES7" s="1729"/>
      <c r="ET7" s="1726"/>
      <c r="EU7" s="1726"/>
    </row>
    <row r="8" spans="1:151" ht="14.25" customHeight="1" thickBot="1">
      <c r="A8" s="73" t="s">
        <v>148</v>
      </c>
      <c r="B8" s="151" t="s">
        <v>522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601</v>
      </c>
      <c r="DI8" s="53" t="s">
        <v>602</v>
      </c>
      <c r="DJ8" s="536" t="s">
        <v>603</v>
      </c>
      <c r="DK8" s="536" t="s">
        <v>642</v>
      </c>
      <c r="DL8" s="536" t="s">
        <v>643</v>
      </c>
      <c r="DM8" s="536" t="s">
        <v>725</v>
      </c>
      <c r="DN8" s="536" t="s">
        <v>726</v>
      </c>
      <c r="DO8" s="536" t="s">
        <v>727</v>
      </c>
      <c r="DP8" s="536" t="s">
        <v>728</v>
      </c>
      <c r="DQ8" s="536" t="s">
        <v>729</v>
      </c>
      <c r="DR8" s="536" t="s">
        <v>730</v>
      </c>
      <c r="DS8" s="536" t="s">
        <v>731</v>
      </c>
      <c r="DT8" s="536" t="s">
        <v>732</v>
      </c>
      <c r="DU8" s="542" t="s">
        <v>733</v>
      </c>
      <c r="DV8" s="536" t="s">
        <v>734</v>
      </c>
      <c r="DW8" s="536" t="s">
        <v>735</v>
      </c>
      <c r="DX8" s="536" t="s">
        <v>736</v>
      </c>
      <c r="DY8" s="536" t="s">
        <v>737</v>
      </c>
      <c r="DZ8" s="536" t="s">
        <v>738</v>
      </c>
      <c r="EA8" s="536" t="s">
        <v>739</v>
      </c>
      <c r="EB8" s="536" t="s">
        <v>796</v>
      </c>
      <c r="EC8" s="536" t="s">
        <v>797</v>
      </c>
      <c r="ED8" s="536" t="s">
        <v>798</v>
      </c>
      <c r="EE8" s="536" t="s">
        <v>799</v>
      </c>
      <c r="EF8" s="536" t="s">
        <v>800</v>
      </c>
      <c r="EG8" s="536" t="s">
        <v>801</v>
      </c>
      <c r="EH8" s="536" t="s">
        <v>802</v>
      </c>
      <c r="EI8" s="536" t="s">
        <v>803</v>
      </c>
      <c r="EJ8" s="536" t="s">
        <v>804</v>
      </c>
      <c r="EK8" s="536" t="s">
        <v>878</v>
      </c>
      <c r="EL8" s="855" t="s">
        <v>897</v>
      </c>
      <c r="EM8" s="855" t="s">
        <v>898</v>
      </c>
      <c r="EN8" s="855" t="s">
        <v>899</v>
      </c>
      <c r="EO8" s="53" t="s">
        <v>1002</v>
      </c>
      <c r="EP8" s="53" t="s">
        <v>1008</v>
      </c>
      <c r="EQ8" s="53" t="s">
        <v>1009</v>
      </c>
      <c r="ER8" s="53" t="s">
        <v>1019</v>
      </c>
      <c r="ES8" s="536" t="s">
        <v>1021</v>
      </c>
      <c r="ET8" s="1522" t="s">
        <v>1139</v>
      </c>
      <c r="EU8" s="1522" t="s">
        <v>1140</v>
      </c>
    </row>
    <row r="9" spans="1:151" ht="14.25" customHeight="1">
      <c r="A9" s="20" t="s">
        <v>72</v>
      </c>
      <c r="B9" s="21" t="s">
        <v>522</v>
      </c>
      <c r="C9" s="22" t="s">
        <v>8</v>
      </c>
      <c r="D9" s="23" t="s">
        <v>25</v>
      </c>
      <c r="E9" s="21" t="s">
        <v>26</v>
      </c>
      <c r="F9" s="21">
        <v>32</v>
      </c>
      <c r="G9" s="6"/>
      <c r="H9" s="146" t="s">
        <v>322</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191</v>
      </c>
      <c r="B10" s="21" t="s">
        <v>522</v>
      </c>
      <c r="C10" s="22" t="s">
        <v>8</v>
      </c>
      <c r="D10" s="23" t="s">
        <v>114</v>
      </c>
      <c r="E10" s="21" t="s">
        <v>114</v>
      </c>
      <c r="F10" s="21" t="s">
        <v>186</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523</v>
      </c>
      <c r="B11" s="21" t="s">
        <v>522</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524</v>
      </c>
      <c r="B12" s="21" t="s">
        <v>522</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145</v>
      </c>
      <c r="B13" s="21" t="s">
        <v>522</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522</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147</v>
      </c>
      <c r="B15" s="85" t="s">
        <v>522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525</v>
      </c>
      <c r="B16" s="21" t="s">
        <v>522</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524</v>
      </c>
      <c r="B17" s="21" t="s">
        <v>522</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191</v>
      </c>
      <c r="B18" s="21" t="s">
        <v>522</v>
      </c>
      <c r="C18" s="22" t="s">
        <v>8</v>
      </c>
      <c r="D18" s="23" t="s">
        <v>114</v>
      </c>
      <c r="E18" s="21" t="s">
        <v>114</v>
      </c>
      <c r="F18" s="21" t="s">
        <v>186</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526</v>
      </c>
      <c r="B19" s="21" t="s">
        <v>522</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527</v>
      </c>
      <c r="B20" s="21" t="s">
        <v>522</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528</v>
      </c>
      <c r="B21" s="21" t="s">
        <v>522</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529</v>
      </c>
      <c r="B22" s="21" t="s">
        <v>522</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522</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522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522</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522</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522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522</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522</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522</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jBpXuAT4MReZpKHYp2EDaggOzSvKJNoorLOaxdnSGWXiNpIM8DBvBFN3BHqoilDU9/LDmagatSBjwnTrCdHLA==" saltValue="goFHGJgesbbi4khaOfTRng==" spinCount="100000" sheet="1" objects="1" scenarios="1"/>
  <mergeCells count="119">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DH5:DH7"/>
    <mergeCell ref="DI5:DI7"/>
    <mergeCell ref="CR5:CR7"/>
    <mergeCell ref="CS5:CS7"/>
    <mergeCell ref="CT5:CT7"/>
    <mergeCell ref="CU5:CU7"/>
    <mergeCell ref="CV5:CV7"/>
    <mergeCell ref="CW5:CW7"/>
    <mergeCell ref="CX5:CX7"/>
    <mergeCell ref="CY5:CY7"/>
    <mergeCell ref="CZ5:CZ7"/>
    <mergeCell ref="CI5:CI7"/>
    <mergeCell ref="CJ5:CJ7"/>
    <mergeCell ref="CK5:CK7"/>
    <mergeCell ref="CL5:CL7"/>
    <mergeCell ref="CM5:CM7"/>
    <mergeCell ref="CN5:CN7"/>
    <mergeCell ref="CO5:CO7"/>
    <mergeCell ref="CP5:CP7"/>
    <mergeCell ref="CQ5:CQ7"/>
    <mergeCell ref="BZ5:BZ7"/>
    <mergeCell ref="CA5:CA7"/>
    <mergeCell ref="CB5:CB7"/>
    <mergeCell ref="CC5:CC7"/>
    <mergeCell ref="CD5:CD7"/>
    <mergeCell ref="CE5:CE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BK5:BK7"/>
    <mergeCell ref="BL5:BL7"/>
    <mergeCell ref="BM5:BM7"/>
    <mergeCell ref="BN5:BO5"/>
    <mergeCell ref="BP5:BQ5"/>
    <mergeCell ref="BR5:BS5"/>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CATALUÑA</v>
      </c>
      <c r="F1" s="859"/>
    </row>
    <row r="2" spans="1:72" ht="16.5" customHeight="1">
      <c r="C2" s="571" t="str">
        <f>Criterios!A10 &amp;"  "&amp;Criterios!B10 &amp; "  " &amp; IF(NOT(ISBLANK(Criterios!A11)),Criterios!A11 &amp;"  "&amp;Criterios!B11,"")</f>
        <v>Provincias  BARCELONA  Resumenes por Partidos Judiciales  VILANOVA I LA GELTRU</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42" t="s">
        <v>468</v>
      </c>
      <c r="B5" s="297"/>
      <c r="C5" s="1642" t="str">
        <f>"Año:  " &amp;Criterios!B$5 &amp; "          Trimestre   " &amp;Criterios!D$5 &amp; " al " &amp;Criterios!D$6</f>
        <v>Año:  2021          Trimestre   1 al 4</v>
      </c>
      <c r="D5" s="1847" t="s">
        <v>494</v>
      </c>
      <c r="E5" s="1847" t="s">
        <v>753</v>
      </c>
      <c r="F5" s="1885" t="s">
        <v>530</v>
      </c>
      <c r="G5" s="1847" t="s">
        <v>176</v>
      </c>
      <c r="H5" s="1847" t="s">
        <v>786</v>
      </c>
      <c r="I5" s="1847" t="s">
        <v>754</v>
      </c>
      <c r="J5" s="1847" t="s">
        <v>871</v>
      </c>
      <c r="K5" s="1847" t="s">
        <v>755</v>
      </c>
      <c r="L5" s="1847" t="s">
        <v>710</v>
      </c>
      <c r="M5" s="1877" t="s">
        <v>784</v>
      </c>
      <c r="N5" s="1847" t="s">
        <v>928</v>
      </c>
      <c r="O5" s="1847" t="s">
        <v>887</v>
      </c>
      <c r="P5" s="1847" t="s">
        <v>232</v>
      </c>
      <c r="Q5" s="1880" t="s">
        <v>883</v>
      </c>
      <c r="R5" s="1880" t="s">
        <v>929</v>
      </c>
      <c r="S5" s="1847" t="s">
        <v>787</v>
      </c>
      <c r="T5" s="1880" t="s">
        <v>756</v>
      </c>
      <c r="U5" s="1880" t="s">
        <v>1046</v>
      </c>
      <c r="V5" s="1880" t="s">
        <v>1047</v>
      </c>
      <c r="W5" s="1850" t="s">
        <v>812</v>
      </c>
      <c r="X5" s="1853" t="s">
        <v>757</v>
      </c>
      <c r="Y5" s="1850" t="s">
        <v>758</v>
      </c>
      <c r="Z5" s="1850" t="s">
        <v>759</v>
      </c>
      <c r="AA5" s="1847" t="s">
        <v>888</v>
      </c>
      <c r="AB5" s="1847" t="s">
        <v>894</v>
      </c>
      <c r="AC5" s="1847" t="s">
        <v>246</v>
      </c>
      <c r="AD5" s="1862" t="s">
        <v>244</v>
      </c>
      <c r="AE5" s="1847" t="s">
        <v>889</v>
      </c>
      <c r="AF5" s="1865" t="s">
        <v>890</v>
      </c>
      <c r="AG5" s="1868" t="s">
        <v>719</v>
      </c>
      <c r="AH5" s="1847" t="s">
        <v>720</v>
      </c>
      <c r="AI5" s="1847" t="s">
        <v>810</v>
      </c>
      <c r="AJ5" s="1871" t="s">
        <v>811</v>
      </c>
      <c r="AK5" s="1868" t="s">
        <v>247</v>
      </c>
      <c r="AL5" s="1847" t="s">
        <v>763</v>
      </c>
      <c r="AM5" s="1847" t="s">
        <v>324</v>
      </c>
      <c r="AN5" s="1847" t="s">
        <v>325</v>
      </c>
      <c r="AO5" s="1847" t="s">
        <v>326</v>
      </c>
      <c r="AP5" s="1847" t="s">
        <v>764</v>
      </c>
      <c r="AQ5" s="1847" t="s">
        <v>327</v>
      </c>
      <c r="AR5" s="1847" t="s">
        <v>765</v>
      </c>
      <c r="AS5" s="1847" t="s">
        <v>766</v>
      </c>
      <c r="AT5" s="1847" t="s">
        <v>767</v>
      </c>
      <c r="AU5" s="1847" t="s">
        <v>795</v>
      </c>
      <c r="AV5" s="1847" t="s">
        <v>788</v>
      </c>
      <c r="AW5" s="1847" t="s">
        <v>439</v>
      </c>
      <c r="AX5" s="1847" t="s">
        <v>789</v>
      </c>
      <c r="AY5" s="1847" t="s">
        <v>768</v>
      </c>
      <c r="AZ5" s="1847" t="s">
        <v>718</v>
      </c>
      <c r="BT5" s="1847" t="s">
        <v>1048</v>
      </c>
    </row>
    <row r="6" spans="1:72" ht="21.75" customHeight="1">
      <c r="A6" s="1901"/>
      <c r="B6" s="883"/>
      <c r="C6" s="1903"/>
      <c r="D6" s="1848"/>
      <c r="E6" s="1848"/>
      <c r="F6" s="1886"/>
      <c r="G6" s="1848"/>
      <c r="H6" s="1848"/>
      <c r="I6" s="1848"/>
      <c r="J6" s="1848"/>
      <c r="K6" s="1848"/>
      <c r="L6" s="1848"/>
      <c r="M6" s="1878"/>
      <c r="N6" s="1848"/>
      <c r="O6" s="1848"/>
      <c r="P6" s="1848"/>
      <c r="Q6" s="1881"/>
      <c r="R6" s="1881"/>
      <c r="S6" s="1848"/>
      <c r="T6" s="1881"/>
      <c r="U6" s="1881"/>
      <c r="V6" s="1881"/>
      <c r="W6" s="1851"/>
      <c r="X6" s="1854"/>
      <c r="Y6" s="1851"/>
      <c r="Z6" s="1851"/>
      <c r="AA6" s="1848"/>
      <c r="AB6" s="1848"/>
      <c r="AC6" s="1848"/>
      <c r="AD6" s="1863"/>
      <c r="AE6" s="1848"/>
      <c r="AF6" s="1866"/>
      <c r="AG6" s="1869"/>
      <c r="AH6" s="1848"/>
      <c r="AI6" s="1848"/>
      <c r="AJ6" s="1872"/>
      <c r="AK6" s="1869"/>
      <c r="AL6" s="1848"/>
      <c r="AM6" s="1848"/>
      <c r="AN6" s="1848"/>
      <c r="AO6" s="1848"/>
      <c r="AP6" s="1848"/>
      <c r="AQ6" s="1848"/>
      <c r="AR6" s="1848"/>
      <c r="AS6" s="1848"/>
      <c r="AT6" s="1848"/>
      <c r="AU6" s="1848"/>
      <c r="AV6" s="1848"/>
      <c r="AW6" s="1848"/>
      <c r="AX6" s="1848"/>
      <c r="AY6" s="1848"/>
      <c r="AZ6" s="1848"/>
      <c r="BT6" s="1848"/>
    </row>
    <row r="7" spans="1:72" ht="38.25" customHeight="1" thickBot="1">
      <c r="A7" s="1902"/>
      <c r="B7" s="884"/>
      <c r="C7" s="885" t="str">
        <f>DatosP!A7</f>
        <v>COMPETENCIAS</v>
      </c>
      <c r="D7" s="1849"/>
      <c r="E7" s="1849"/>
      <c r="F7" s="1887"/>
      <c r="G7" s="1849"/>
      <c r="H7" s="1849"/>
      <c r="I7" s="1849"/>
      <c r="J7" s="1849"/>
      <c r="K7" s="1849"/>
      <c r="L7" s="1849"/>
      <c r="M7" s="1879"/>
      <c r="N7" s="1849"/>
      <c r="O7" s="1849"/>
      <c r="P7" s="1849"/>
      <c r="Q7" s="1882"/>
      <c r="R7" s="1882"/>
      <c r="S7" s="1849"/>
      <c r="T7" s="1882"/>
      <c r="U7" s="1882"/>
      <c r="V7" s="1882"/>
      <c r="W7" s="1852"/>
      <c r="X7" s="1855"/>
      <c r="Y7" s="1852"/>
      <c r="Z7" s="1852"/>
      <c r="AA7" s="1849"/>
      <c r="AB7" s="1849"/>
      <c r="AC7" s="1849"/>
      <c r="AD7" s="1864"/>
      <c r="AE7" s="1849"/>
      <c r="AF7" s="1867"/>
      <c r="AG7" s="1870"/>
      <c r="AH7" s="1849"/>
      <c r="AI7" s="1849"/>
      <c r="AJ7" s="1873"/>
      <c r="AK7" s="1870"/>
      <c r="AL7" s="1849"/>
      <c r="AM7" s="1849"/>
      <c r="AN7" s="1849"/>
      <c r="AO7" s="1849"/>
      <c r="AP7" s="1849"/>
      <c r="AQ7" s="1849"/>
      <c r="AR7" s="1849"/>
      <c r="AS7" s="1849"/>
      <c r="AT7" s="1849"/>
      <c r="AU7" s="1849"/>
      <c r="AV7" s="1849"/>
      <c r="AW7" s="1849"/>
      <c r="AX7" s="1849"/>
      <c r="AY7" s="1849"/>
      <c r="AZ7" s="1849"/>
      <c r="BT7" s="1849"/>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323</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323</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323</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323</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323</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0.24670433145009416</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514</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514</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514</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514</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514</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514</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514</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515</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516</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516</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343</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344</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0.17444630571645522</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548</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341</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342</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05 abr. 2022</v>
      </c>
    </row>
    <row r="44" spans="1:72">
      <c r="C44" s="1051"/>
      <c r="D44" s="1052"/>
    </row>
  </sheetData>
  <sheetProtection algorithmName="SHA-512" hashValue="KVSyq/YGhLjDkG/hCvqS+ixsiww/NFMi6VpRiG/vkpMX7aI+MLnfk40FnvR/BJRPIgL/apIlxdgHaZd1hH1xSg==" saltValue="2Ed1NWbuNU40tLP7tWIqlQ==" spinCount="100000" sheet="1" objects="1" scenarios="1"/>
  <mergeCells count="52">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T5:BT7"/>
    <mergeCell ref="AX5:AX7"/>
    <mergeCell ref="AY5:AY7"/>
    <mergeCell ref="AZ5:AZ7"/>
    <mergeCell ref="AR5:AR7"/>
    <mergeCell ref="AS5:AS7"/>
    <mergeCell ref="AT5:AT7"/>
    <mergeCell ref="AU5:AU7"/>
    <mergeCell ref="AV5:AV7"/>
    <mergeCell ref="AW5:AW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1133</v>
      </c>
    </row>
    <row r="3" spans="2:5" ht="16.5" customHeight="1" thickBot="1">
      <c r="B3" s="1521" t="s">
        <v>1134</v>
      </c>
      <c r="C3" s="1521" t="s">
        <v>1135</v>
      </c>
      <c r="D3" s="1521" t="s">
        <v>1136</v>
      </c>
      <c r="E3" s="1530" t="s">
        <v>1141</v>
      </c>
    </row>
  </sheetData>
  <sheetProtection algorithmName="SHA-512" hashValue="+80PkFViGdwVPtN6JQbfzAb6TTqYO00v9ad3MAv7/RMxB+JWjNAKfYD24T+OYG8HN897/xaHJgzNkeBj2OJSWw==" saltValue="fXO+bddFjo+1JUkO7FjY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CATALUÑA</v>
      </c>
      <c r="C2" s="437"/>
      <c r="D2" s="437"/>
      <c r="E2" s="437"/>
      <c r="F2" s="437"/>
    </row>
    <row r="3" spans="1:14" ht="19.5">
      <c r="A3" s="439" t="s">
        <v>162</v>
      </c>
      <c r="B3" s="440" t="str">
        <f>Criterios!A10 &amp;"  "&amp;Criterios!B10</f>
        <v>Provincias  BARCELONA</v>
      </c>
      <c r="D3" s="437"/>
      <c r="E3" s="437"/>
      <c r="F3" s="437"/>
    </row>
    <row r="4" spans="1:14" ht="13.5" thickBot="1">
      <c r="A4" s="437"/>
      <c r="B4" s="440" t="str">
        <f>Criterios!A11 &amp;"  "&amp;Criterios!B11</f>
        <v>Resumenes por Partidos Judiciales  VILANOVA I LA GELTRU</v>
      </c>
      <c r="C4" s="437"/>
      <c r="D4" s="437"/>
      <c r="E4" s="437"/>
      <c r="F4" s="437"/>
    </row>
    <row r="5" spans="1:14" ht="15.75" customHeight="1">
      <c r="A5" s="1553" t="str">
        <f>"Año:  " &amp;Criterios!B5 &amp; "     Trimestre   " &amp;Criterios!D5 &amp; " al " &amp;Criterios!D6</f>
        <v>Año:  2021     Trimestre   1 al 4</v>
      </c>
      <c r="B5" s="1084" t="s">
        <v>163</v>
      </c>
      <c r="C5" s="1555" t="s">
        <v>176</v>
      </c>
      <c r="D5" s="1556"/>
      <c r="E5" s="1555" t="s">
        <v>126</v>
      </c>
      <c r="F5" s="1556"/>
      <c r="G5" s="1555" t="s">
        <v>14</v>
      </c>
      <c r="H5" s="1556"/>
      <c r="I5" s="1555" t="s">
        <v>177</v>
      </c>
      <c r="J5" s="1556"/>
      <c r="K5" s="1562" t="s">
        <v>1007</v>
      </c>
      <c r="L5" s="1546" t="s">
        <v>1070</v>
      </c>
      <c r="M5" s="1546" t="s">
        <v>1005</v>
      </c>
      <c r="N5" s="1549" t="s">
        <v>1006</v>
      </c>
    </row>
    <row r="6" spans="1:14" ht="21.75" customHeight="1" thickBot="1">
      <c r="A6" s="1554"/>
      <c r="B6" s="1085"/>
      <c r="C6" s="1557"/>
      <c r="D6" s="1558"/>
      <c r="E6" s="1557"/>
      <c r="F6" s="1558"/>
      <c r="G6" s="1557"/>
      <c r="H6" s="1558"/>
      <c r="I6" s="1557"/>
      <c r="J6" s="1558"/>
      <c r="K6" s="1563"/>
      <c r="L6" s="1547"/>
      <c r="M6" s="1547"/>
      <c r="N6" s="1550"/>
    </row>
    <row r="7" spans="1:14" ht="38.25" customHeight="1" thickTop="1" thickBot="1">
      <c r="A7" s="441" t="s">
        <v>1000</v>
      </c>
      <c r="B7" s="442" t="s">
        <v>164</v>
      </c>
      <c r="C7" s="443" t="s">
        <v>10</v>
      </c>
      <c r="D7" s="444" t="s">
        <v>11</v>
      </c>
      <c r="E7" s="443" t="s">
        <v>10</v>
      </c>
      <c r="F7" s="444" t="s">
        <v>11</v>
      </c>
      <c r="G7" s="443" t="s">
        <v>10</v>
      </c>
      <c r="H7" s="444" t="s">
        <v>11</v>
      </c>
      <c r="I7" s="443" t="s">
        <v>10</v>
      </c>
      <c r="J7" s="444" t="s">
        <v>11</v>
      </c>
      <c r="K7" s="1564"/>
      <c r="L7" s="1548"/>
      <c r="M7" s="1548"/>
      <c r="N7" s="1551"/>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0</v>
      </c>
      <c r="C9" s="452" t="str">
        <f>IF(ISNUMBER(IF(J_V="SI",Datos!I9,Datos!I9+Datos!Y9)),IF(J_V="SI",Datos!I9,Datos!I9+Datos!Y9)," - ")</f>
        <v xml:space="preserve"> - </v>
      </c>
      <c r="D9" s="453" t="str">
        <f>IF(ISNUMBER(C9/Datos!BH9),C9/Datos!BH9," - ")</f>
        <v xml:space="preserve"> - </v>
      </c>
      <c r="E9" s="452" t="str">
        <f>IF(ISNUMBER(IF(J_V="SI",Datos!J9,Datos!J9+Datos!Z9)),IF(J_V="SI",Datos!J9,Datos!J9+Datos!Z9)," - ")</f>
        <v xml:space="preserve"> - </v>
      </c>
      <c r="F9" s="453" t="str">
        <f>IF(ISNUMBER(E9/B9),E9/B9," - ")</f>
        <v xml:space="preserve"> - </v>
      </c>
      <c r="G9" s="452" t="str">
        <f>IF(ISNUMBER(IF(J_V="SI",Datos!K9,Datos!K9+Datos!AA9)),IF(J_V="SI",Datos!K9,Datos!K9+Datos!AA9)," - ")</f>
        <v xml:space="preserve"> - </v>
      </c>
      <c r="H9" s="453" t="str">
        <f>IF(ISNUMBER(G9/B9),G9/B9," - ")</f>
        <v xml:space="preserve"> - </v>
      </c>
      <c r="I9" s="452" t="str">
        <f>IF(ISNUMBER(IF(J_V="SI",Datos!L9,Datos!L9+Datos!AB9)),IF(J_V="SI",Datos!L9,Datos!L9+Datos!AB9)," - ")</f>
        <v xml:space="preserve"> - </v>
      </c>
      <c r="J9" s="453" t="str">
        <f>IF(ISNUMBER(I9/B9),I9/B9," - ")</f>
        <v xml:space="preserve"> - </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1</v>
      </c>
      <c r="C10" s="452">
        <f>IF(ISNUMBER(Datos!I10),Datos!I10," - ")</f>
        <v>76</v>
      </c>
      <c r="D10" s="453">
        <f>IF(ISNUMBER(C10/Datos!BH10),C10/Datos!BH10," - ")</f>
        <v>76</v>
      </c>
      <c r="E10" s="452">
        <f>IF(ISNUMBER(Datos!J10),Datos!J10," - ")</f>
        <v>60</v>
      </c>
      <c r="F10" s="453">
        <f>IF(ISNUMBER(E10/B10),E10/B10," - ")</f>
        <v>60</v>
      </c>
      <c r="G10" s="452">
        <f>IF(ISNUMBER(Datos!K10),Datos!K10," - ")</f>
        <v>25</v>
      </c>
      <c r="H10" s="453">
        <f>IF(ISNUMBER(G10/B10),G10/B10," - ")</f>
        <v>25</v>
      </c>
      <c r="I10" s="452">
        <f>IF(ISNUMBER(Datos!L10),Datos!L10," - ")</f>
        <v>111</v>
      </c>
      <c r="J10" s="453">
        <f>IF(ISNUMBER(I10/B10),I10/B10," - ")</f>
        <v>111</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0</v>
      </c>
      <c r="C11" s="452" t="str">
        <f>IF(ISNUMBER(IF(J_V="SI",Datos!I11,Datos!I11+Datos!Y11)),IF(J_V="SI",Datos!I11,Datos!I11+Datos!Y11)," - ")</f>
        <v xml:space="preserve"> - </v>
      </c>
      <c r="D11" s="453" t="str">
        <f>IF(ISNUMBER(C11/Datos!BH11),C11/Datos!BH11," - ")</f>
        <v xml:space="preserve"> - </v>
      </c>
      <c r="E11" s="452" t="str">
        <f>IF(ISNUMBER(IF(J_V="SI",Datos!J11,Datos!J11+Datos!Z11)),IF(J_V="SI",Datos!J11,Datos!J11+Datos!Z11)," - ")</f>
        <v xml:space="preserve"> - </v>
      </c>
      <c r="F11" s="453" t="str">
        <f>IF(ISNUMBER(E11/B11),E11/B11," - ")</f>
        <v xml:space="preserve"> - </v>
      </c>
      <c r="G11" s="452" t="str">
        <f>IF(ISNUMBER(IF(J_V="SI",Datos!K11,Datos!K11+Datos!AA11)),IF(J_V="SI",Datos!K11,Datos!K11+Datos!AA11)," - ")</f>
        <v xml:space="preserve"> - </v>
      </c>
      <c r="H11" s="453" t="str">
        <f>IF(ISNUMBER(G11/B11),G11/B11," - ")</f>
        <v xml:space="preserve"> - </v>
      </c>
      <c r="I11" s="452" t="str">
        <f>IF(ISNUMBER(IF(J_V="SI",Datos!L11,Datos!L11+Datos!AB11)),IF(J_V="SI",Datos!L11,Datos!L11+Datos!AB11)," - ")</f>
        <v xml:space="preserve"> - </v>
      </c>
      <c r="J11" s="453" t="str">
        <f>IF(ISNUMBER(I11/B11),I11/B11," - ")</f>
        <v xml:space="preserve"> - </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9</v>
      </c>
      <c r="C12" s="452">
        <f>IF(ISNUMBER(IF(J_V="SI",Datos!I12,Datos!I12+Datos!Y12)),IF(J_V="SI",Datos!I12,Datos!I12+Datos!Y12)," - ")</f>
        <v>6708</v>
      </c>
      <c r="D12" s="453">
        <f>IF(ISNUMBER(C12/Datos!BH12),C12/Datos!BH12," - ")</f>
        <v>745.33333333333337</v>
      </c>
      <c r="E12" s="452">
        <f>IF(ISNUMBER(IF(J_V="SI",Datos!J12,Datos!J12+Datos!Z12)),IF(J_V="SI",Datos!J12,Datos!J12+Datos!Z12)," - ")</f>
        <v>7283</v>
      </c>
      <c r="F12" s="453">
        <f>IF(ISNUMBER(E12/B12),E12/B12," - ")</f>
        <v>809.22222222222217</v>
      </c>
      <c r="G12" s="452">
        <f>IF(ISNUMBER(IF(J_V="SI",Datos!K12,Datos!K12+Datos!AA12)),IF(J_V="SI",Datos!K12,Datos!K12+Datos!AA12)," - ")</f>
        <v>5816</v>
      </c>
      <c r="H12" s="453">
        <f>IF(ISNUMBER(G12/B12),G12/B12," - ")</f>
        <v>646.22222222222217</v>
      </c>
      <c r="I12" s="452">
        <f>IF(ISNUMBER(IF(J_V="SI",Datos!L12,Datos!L12+Datos!AB12)),IF(J_V="SI",Datos!L12,Datos!L12+Datos!AB12)," - ")</f>
        <v>8202</v>
      </c>
      <c r="J12" s="453">
        <f>IF(ISNUMBER(I12/B12),I12/B12," - ")</f>
        <v>911.33333333333337</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0</v>
      </c>
      <c r="C13" s="452" t="str">
        <f>IF(ISNUMBER(Datos!I13),Datos!I13," - ")</f>
        <v xml:space="preserve"> - </v>
      </c>
      <c r="D13" s="453" t="str">
        <f>IF(ISNUMBER(C13/Datos!BH13),C13/Datos!BH13," - ")</f>
        <v xml:space="preserve"> - </v>
      </c>
      <c r="E13" s="452" t="str">
        <f>IF(ISNUMBER(Datos!J13),Datos!J13," - ")</f>
        <v xml:space="preserve"> - </v>
      </c>
      <c r="F13" s="453" t="str">
        <f>IF(ISNUMBER(E13/B13),E13/B13," - ")</f>
        <v xml:space="preserve"> - </v>
      </c>
      <c r="G13" s="452" t="str">
        <f>IF(ISNUMBER(Datos!K13),Datos!K13," - ")</f>
        <v xml:space="preserve"> - </v>
      </c>
      <c r="H13" s="453" t="str">
        <f>IF(ISNUMBER(G13/B13),G13/B13," - ")</f>
        <v xml:space="preserve"> - </v>
      </c>
      <c r="I13" s="452" t="str">
        <f>IF(ISNUMBER(Datos!L13),Datos!L13," - ")</f>
        <v xml:space="preserve"> - </v>
      </c>
      <c r="J13" s="453" t="str">
        <f>IF(ISNUMBER(I13/B13),I13/B13," - ")</f>
        <v xml:space="preserve"> - </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9</v>
      </c>
      <c r="C14" s="1149">
        <f>SUBTOTAL(9,C8:C13)</f>
        <v>6784</v>
      </c>
      <c r="D14" s="1150" t="str">
        <f>IF(ISNUMBER(C14/Datos!BI14),C14/Datos!BI14," - ")</f>
        <v xml:space="preserve"> - </v>
      </c>
      <c r="E14" s="1149">
        <f>SUBTOTAL(9,E8:E13)</f>
        <v>7343</v>
      </c>
      <c r="F14" s="1150">
        <f>IF(ISNUMBER(E14/B14),E14/B14," - ")</f>
        <v>815.88888888888891</v>
      </c>
      <c r="G14" s="1149">
        <f>SUBTOTAL(9,G8:G13)</f>
        <v>5841</v>
      </c>
      <c r="H14" s="1150">
        <f>IF(ISNUMBER(G14/B14),G14/B14," - ")</f>
        <v>649</v>
      </c>
      <c r="I14" s="1149">
        <f>SUBTOTAL(9,I8:I13)</f>
        <v>8313</v>
      </c>
      <c r="J14" s="1150">
        <f>IF(ISNUMBER(I14/B14),I14/B14," - ")</f>
        <v>923.66666666666663</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0</v>
      </c>
      <c r="C16" s="452" t="str">
        <f>IF(ISNUMBER(IF(D_I="SI",Datos!I16,Datos!I16+Datos!AC16)),IF(D_I="SI",Datos!I16,Datos!I16+Datos!AC16)," - ")</f>
        <v xml:space="preserve"> - </v>
      </c>
      <c r="D16" s="453" t="str">
        <f>IF(ISNUMBER(C16/Datos!BH16),C16/Datos!BH16," - ")</f>
        <v xml:space="preserve"> - </v>
      </c>
      <c r="E16" s="452" t="str">
        <f>IF(ISNUMBER(IF(D_I="SI",Datos!J16,Datos!J16+Datos!AD16)),IF(D_I="SI",Datos!J16,Datos!J16+Datos!AD16)," - ")</f>
        <v xml:space="preserve"> - </v>
      </c>
      <c r="F16" s="453" t="str">
        <f>IF(ISNUMBER(E16/B16),E16/B16," - ")</f>
        <v xml:space="preserve"> - </v>
      </c>
      <c r="G16" s="452" t="str">
        <f>IF(ISNUMBER(IF(D_I="SI",Datos!K16,Datos!K16+Datos!AE16)),IF(D_I="SI",Datos!K16,Datos!K16+Datos!AE16)," - ")</f>
        <v xml:space="preserve"> - </v>
      </c>
      <c r="H16" s="453" t="str">
        <f>IF(ISNUMBER(G16/B16),G16/B16," - ")</f>
        <v xml:space="preserve"> - </v>
      </c>
      <c r="I16" s="452" t="str">
        <f>IF(ISNUMBER(IF(D_I="SI",Datos!L16,Datos!L16+Datos!AF16)),IF(D_I="SI",Datos!L16,Datos!L16+Datos!AF16)," - ")</f>
        <v xml:space="preserve"> - </v>
      </c>
      <c r="J16" s="453" t="str">
        <f>IF(ISNUMBER(I16/B16),I16/B16," - ")</f>
        <v xml:space="preserve"> - </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9</v>
      </c>
      <c r="C17" s="452">
        <f>IF(ISNUMBER(IF(D_I="SI",Datos!I17,Datos!I17+Datos!AC17)),IF(D_I="SI",Datos!I17,Datos!I17+Datos!AC17)," - ")</f>
        <v>3086</v>
      </c>
      <c r="D17" s="453">
        <f>IF(ISNUMBER(C17/Datos!BH17),C17/Datos!BH17," - ")</f>
        <v>342.88888888888891</v>
      </c>
      <c r="E17" s="452">
        <f>IF(ISNUMBER(IF(D_I="SI",Datos!J17,Datos!J17+Datos!AD17)),IF(D_I="SI",Datos!J17,Datos!J17+Datos!AD17)," - ")</f>
        <v>8381</v>
      </c>
      <c r="F17" s="453">
        <f>IF(ISNUMBER(E17/B17),E17/B17," - ")</f>
        <v>931.22222222222217</v>
      </c>
      <c r="G17" s="452">
        <f>IF(ISNUMBER(IF(D_I="SI",Datos!K17,Datos!K17+Datos!AE17)),IF(D_I="SI",Datos!K17,Datos!K17+Datos!AE17)," - ")</f>
        <v>7449</v>
      </c>
      <c r="H17" s="453">
        <f>IF(ISNUMBER(G17/B17),G17/B17," - ")</f>
        <v>827.66666666666663</v>
      </c>
      <c r="I17" s="452">
        <f>IF(ISNUMBER(IF(D_I="SI",Datos!L17,Datos!L17+Datos!AF17)),IF(D_I="SI",Datos!L17,Datos!L17+Datos!AF17)," - ")</f>
        <v>3639</v>
      </c>
      <c r="J17" s="453">
        <f>IF(ISNUMBER(I17/B17),I17/B17," - ")</f>
        <v>404.33333333333331</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1</v>
      </c>
      <c r="C18" s="452">
        <f>IF(ISNUMBER(IF(D_I="SI",Datos!I18,Datos!I18+Datos!AC18)),IF(D_I="SI",Datos!I18,Datos!I18+Datos!AC18)," - ")</f>
        <v>253</v>
      </c>
      <c r="D18" s="453">
        <f>IF(ISNUMBER(C18/Datos!BH18),C18/Datos!BH18," - ")</f>
        <v>253</v>
      </c>
      <c r="E18" s="452">
        <f>IF(ISNUMBER(IF(D_I="SI",Datos!J18,Datos!J18+Datos!AD18)),IF(D_I="SI",Datos!J18,Datos!J18+Datos!AD18)," - ")</f>
        <v>524</v>
      </c>
      <c r="F18" s="453">
        <f>IF(ISNUMBER(E18/B18),E18/B18," - ")</f>
        <v>524</v>
      </c>
      <c r="G18" s="452">
        <f>IF(ISNUMBER(IF(D_I="SI",Datos!K18,Datos!K18+Datos!AE18)),IF(D_I="SI",Datos!K18,Datos!K18+Datos!AE18)," - ")</f>
        <v>375</v>
      </c>
      <c r="H18" s="453">
        <f>IF(ISNUMBER(G18/B18),G18/B18," - ")</f>
        <v>375</v>
      </c>
      <c r="I18" s="452">
        <f>IF(ISNUMBER(IF(D_I="SI",Datos!L18,Datos!L18+Datos!AF18)),IF(D_I="SI",Datos!L18,Datos!L18+Datos!AF18)," - ")</f>
        <v>256</v>
      </c>
      <c r="J18" s="453">
        <f>IF(ISNUMBER(I18/B18),I18/B18," - ")</f>
        <v>256</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0</v>
      </c>
      <c r="C19" s="452" t="str">
        <f>IF(ISNUMBER(Datos!I19),Datos!I19," - ")</f>
        <v xml:space="preserve"> - </v>
      </c>
      <c r="D19" s="453" t="str">
        <f>IF(ISNUMBER(C19/Datos!BH19),C19/Datos!BH19," - ")</f>
        <v xml:space="preserve"> - </v>
      </c>
      <c r="E19" s="452" t="str">
        <f>IF(ISNUMBER(Datos!J19),Datos!J19," - ")</f>
        <v xml:space="preserve"> - </v>
      </c>
      <c r="F19" s="453" t="str">
        <f>IF(ISNUMBER(E19/B19),E19/B19," - ")</f>
        <v xml:space="preserve"> - </v>
      </c>
      <c r="G19" s="452" t="str">
        <f>IF(ISNUMBER(Datos!K19),Datos!K19," - ")</f>
        <v xml:space="preserve"> - </v>
      </c>
      <c r="H19" s="453" t="str">
        <f>IF(ISNUMBER(G19/B19),G19/B19," - ")</f>
        <v xml:space="preserve"> - </v>
      </c>
      <c r="I19" s="452" t="str">
        <f>IF(ISNUMBER(Datos!L19),Datos!L19," - ")</f>
        <v xml:space="preserve"> - </v>
      </c>
      <c r="J19" s="453" t="str">
        <f>IF(ISNUMBER(I19/B19),I19/B19," - ")</f>
        <v xml:space="preserve"> - </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t="str">
        <f>IF(ISNUMBER(Datos!I20),Datos!I20," - ")</f>
        <v xml:space="preserve"> - </v>
      </c>
      <c r="D20" s="453" t="str">
        <f>IF(ISNUMBER(C20/Datos!BH20),C20/Datos!BH20," - ")</f>
        <v xml:space="preserve"> - </v>
      </c>
      <c r="E20" s="452" t="str">
        <f>IF(ISNUMBER(Datos!J20),Datos!J20," - ")</f>
        <v xml:space="preserve"> - </v>
      </c>
      <c r="F20" s="453" t="str">
        <f>IF(ISNUMBER(E20/B20),E20/B20," - ")</f>
        <v xml:space="preserve"> - </v>
      </c>
      <c r="G20" s="452" t="str">
        <f>IF(ISNUMBER(Datos!K20),Datos!K20," - ")</f>
        <v xml:space="preserve"> - </v>
      </c>
      <c r="H20" s="453" t="str">
        <f>IF(ISNUMBER(G20/B20),G20/B20," - ")</f>
        <v xml:space="preserve"> - </v>
      </c>
      <c r="I20" s="452" t="str">
        <f>IF(ISNUMBER(Datos!L20),Datos!L20," - ")</f>
        <v xml:space="preserve"> - </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4</v>
      </c>
      <c r="C21" s="452">
        <f>IF(ISNUMBER(Datos!I21),Datos!I21," - ")</f>
        <v>2408</v>
      </c>
      <c r="D21" s="453">
        <f>IF(ISNUMBER(C21/Datos!BH21),C21/Datos!BH21," - ")</f>
        <v>602</v>
      </c>
      <c r="E21" s="452">
        <f>IF(ISNUMBER(Datos!J21),Datos!J21," - ")</f>
        <v>1893</v>
      </c>
      <c r="F21" s="453">
        <f>IF(ISNUMBER(E21/B21),E21/B21," - ")</f>
        <v>473.25</v>
      </c>
      <c r="G21" s="452">
        <f>IF(ISNUMBER(Datos!K21),Datos!K21," - ")</f>
        <v>1978</v>
      </c>
      <c r="H21" s="453">
        <f>IF(ISNUMBER(G21/B21),G21/B21," - ")</f>
        <v>494.5</v>
      </c>
      <c r="I21" s="452">
        <f>IF(ISNUMBER(Datos!L21),Datos!L21," - ")</f>
        <v>2323</v>
      </c>
      <c r="J21" s="453">
        <f>IF(ISNUMBER(I21/B21),I21/B21," - ")</f>
        <v>580.75</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13</v>
      </c>
      <c r="C23" s="1149">
        <f>SUBTOTAL(9,C15:C22)</f>
        <v>5747</v>
      </c>
      <c r="D23" s="1150" t="str">
        <f>IF(ISNUMBER(C23/Datos!BI23),C23/Datos!BI23," - ")</f>
        <v xml:space="preserve"> - </v>
      </c>
      <c r="E23" s="1149">
        <f>SUBTOTAL(9,E15:E22)</f>
        <v>10798</v>
      </c>
      <c r="F23" s="1150">
        <f>IF(ISNUMBER(E23/B23),E23/B23," - ")</f>
        <v>830.61538461538464</v>
      </c>
      <c r="G23" s="1149">
        <f>SUBTOTAL(9,G15:G22)</f>
        <v>9802</v>
      </c>
      <c r="H23" s="1150">
        <f>IF(ISNUMBER(G23/B23),G23/B23," - ")</f>
        <v>754</v>
      </c>
      <c r="I23" s="1149">
        <f>SUBTOTAL(9,I15:I22)</f>
        <v>6218</v>
      </c>
      <c r="J23" s="1150">
        <f>IF(ISNUMBER(I23/B23),I23/B23," - ")</f>
        <v>478.30769230769232</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0</v>
      </c>
      <c r="C25" s="452" t="str">
        <f>IF(ISNUMBER(Datos!I25),Datos!I25," - ")</f>
        <v xml:space="preserve"> - </v>
      </c>
      <c r="D25" s="453" t="str">
        <f>IF(ISNUMBER(C25/Datos!BH25),C25/Datos!BH25," - ")</f>
        <v xml:space="preserve"> - </v>
      </c>
      <c r="E25" s="452" t="str">
        <f>IF(ISNUMBER(Datos!J25),Datos!J25," - ")</f>
        <v xml:space="preserve"> - </v>
      </c>
      <c r="F25" s="453" t="str">
        <f>IF(ISNUMBER(E25/B25),E25/B25," - ")</f>
        <v xml:space="preserve"> - </v>
      </c>
      <c r="G25" s="452" t="str">
        <f>IF(ISNUMBER(Datos!K25),Datos!K25," - ")</f>
        <v xml:space="preserve"> - </v>
      </c>
      <c r="H25" s="453" t="str">
        <f>IF(ISNUMBER(G25/B25),G25/B25," - ")</f>
        <v xml:space="preserve"> - </v>
      </c>
      <c r="I25" s="452" t="str">
        <f>IF(ISNUMBER(Datos!L25),Datos!L25," - ")</f>
        <v xml:space="preserve"> - </v>
      </c>
      <c r="J25" s="453" t="str">
        <f>IF(ISNUMBER(I25/B25),I25/B25," - ")</f>
        <v xml:space="preserve"> - </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0</v>
      </c>
      <c r="C26" s="1149">
        <f>SUBTOTAL(9,C25:C25)</f>
        <v>0</v>
      </c>
      <c r="D26" s="1150" t="str">
        <f>IF(ISNUMBER(C26/Datos!BI26),C26/Datos!BI26," - ")</f>
        <v xml:space="preserve"> - </v>
      </c>
      <c r="E26" s="1149">
        <f>SUBTOTAL(9,E25:E25)</f>
        <v>0</v>
      </c>
      <c r="F26" s="1150" t="str">
        <f>IF(ISNUMBER(E26/B26),E26/B26," - ")</f>
        <v xml:space="preserve"> - </v>
      </c>
      <c r="G26" s="1149">
        <f>SUBTOTAL(9,G25:G25)</f>
        <v>0</v>
      </c>
      <c r="H26" s="1150" t="str">
        <f>IF(ISNUMBER(G26/B26),G26/B26," - ")</f>
        <v xml:space="preserve"> - </v>
      </c>
      <c r="I26" s="1149">
        <f>SUBTOTAL(9,I25:I25)</f>
        <v>0</v>
      </c>
      <c r="J26" s="1150" t="str">
        <f>IF(ISNUMBER(I26/B26),I26/B26," - ")</f>
        <v xml:space="preserve"> - </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0</v>
      </c>
      <c r="C28" s="452" t="str">
        <f>IF(ISNUMBER(Datos!I28),Datos!I28," - ")</f>
        <v xml:space="preserve"> - </v>
      </c>
      <c r="D28" s="453" t="str">
        <f>IF(ISNUMBER(C28/Datos!BH28),C28/Datos!BH28," - ")</f>
        <v xml:space="preserve"> - </v>
      </c>
      <c r="E28" s="452" t="str">
        <f>IF(ISNUMBER(Datos!J28),Datos!J28," - ")</f>
        <v xml:space="preserve"> - </v>
      </c>
      <c r="F28" s="453" t="str">
        <f>IF(ISNUMBER(E28/B28),E28/B28," - ")</f>
        <v xml:space="preserve"> - </v>
      </c>
      <c r="G28" s="452" t="str">
        <f>IF(ISNUMBER(Datos!K28),Datos!K28," - ")</f>
        <v xml:space="preserve"> - </v>
      </c>
      <c r="H28" s="453" t="str">
        <f>IF(ISNUMBER(G28/B28),G28/B28," - ")</f>
        <v xml:space="preserve"> - </v>
      </c>
      <c r="I28" s="452" t="str">
        <f>IF(ISNUMBER(Datos!L28),Datos!L28," - ")</f>
        <v xml:space="preserve"> - </v>
      </c>
      <c r="J28" s="453" t="str">
        <f>IF(ISNUMBER(I28/B28),I28/B28," - ")</f>
        <v xml:space="preserve"> - </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0</v>
      </c>
      <c r="C30" s="1149">
        <f>SUBTOTAL(9,C28:C29)</f>
        <v>0</v>
      </c>
      <c r="D30" s="1150" t="str">
        <f>IF(ISNUMBER(C30/Datos!BI30),C30/Datos!BI30," - ")</f>
        <v xml:space="preserve"> - </v>
      </c>
      <c r="E30" s="1149">
        <f>SUBTOTAL(9,E28:E29)</f>
        <v>0</v>
      </c>
      <c r="F30" s="1150" t="str">
        <f>IF(ISNUMBER(E30/B30),E30/B30," - ")</f>
        <v xml:space="preserve"> - </v>
      </c>
      <c r="G30" s="1149">
        <f>SUBTOTAL(9,G28:G29)</f>
        <v>0</v>
      </c>
      <c r="H30" s="1150" t="str">
        <f>IF(ISNUMBER(G30/B30),G30/B30," - ")</f>
        <v xml:space="preserve"> - </v>
      </c>
      <c r="I30" s="1149">
        <f>SUBTOTAL(9,I28:I29)</f>
        <v>0</v>
      </c>
      <c r="J30" s="1150" t="str">
        <f>IF(ISNUMBER(I30/B30),I30/B30," - ")</f>
        <v xml:space="preserve"> - </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13</v>
      </c>
      <c r="C31" s="1087">
        <f>SUBTOTAL(9,C9:C30)</f>
        <v>12531</v>
      </c>
      <c r="D31" s="1088" t="str">
        <f>IF(ISNUMBER(C31/Datos!BI31),C31/Datos!BI31," - ")</f>
        <v xml:space="preserve"> - </v>
      </c>
      <c r="E31" s="1087">
        <f>SUBTOTAL(9,E9:E30)</f>
        <v>18141</v>
      </c>
      <c r="F31" s="1088">
        <f>IF(ISNUMBER(E31/B31),E31/B31," - ")</f>
        <v>1395.4615384615386</v>
      </c>
      <c r="G31" s="1087">
        <f>SUBTOTAL(9,G9:G30)</f>
        <v>15643</v>
      </c>
      <c r="H31" s="1088">
        <f>IF(ISNUMBER(G31/B31),G31/B31," - ")</f>
        <v>1203.3076923076924</v>
      </c>
      <c r="I31" s="1087">
        <f>SUBTOTAL(9,I9:I30)</f>
        <v>14531</v>
      </c>
      <c r="J31" s="1088">
        <f>IF(ISNUMBER(I31/B31),I31/B31," - ")</f>
        <v>1117.7692307692307</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52"/>
      <c r="B34" s="1552"/>
    </row>
    <row r="35" spans="1:2">
      <c r="A35" s="440" t="str">
        <f>Criterios!A4</f>
        <v>Fecha Informe: 05 abr. 2022</v>
      </c>
    </row>
    <row r="39" spans="1:2">
      <c r="A39" s="463"/>
    </row>
  </sheetData>
  <sheetProtection algorithmName="SHA-512" hashValue="pE4L2HZvFvFwFuSGeaUxwcrevI0dP33Bhs64w4gMai3aIsqBhFXzfP0SK19RXbXDBjGJ2Ma0w+WFC61HpO1P+Q==" saltValue="80sRvy43vwyxZIi1gkk1b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CATALUÑA</v>
      </c>
      <c r="F1" s="859"/>
      <c r="W1"/>
      <c r="X1"/>
      <c r="BD1" s="859"/>
    </row>
    <row r="2" spans="1:64" ht="16.5" customHeight="1">
      <c r="C2" s="571" t="str">
        <f>Criterios!A10 &amp;"  "&amp;Criterios!B10 &amp; "  " &amp; IF(NOT(ISBLANK(Criterios!A11)),Criterios!A11 &amp;"  "&amp;Criterios!B11,"")</f>
        <v>Provincias  BARCELONA  Resumenes por Partidos Judiciales  VILANOVA I LA GELTRU</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42" t="s">
        <v>468</v>
      </c>
      <c r="B5" s="297"/>
      <c r="C5" s="1642" t="str">
        <f>"Año:  " &amp;Criterios!B$5 &amp; "          Trimestre   " &amp;Criterios!D$5 &amp; " al " &amp;Criterios!D$6</f>
        <v>Año:  2021          Trimestre   1 al 4</v>
      </c>
      <c r="D5" s="1847" t="s">
        <v>548</v>
      </c>
      <c r="E5" s="1847" t="s">
        <v>753</v>
      </c>
      <c r="F5" s="1885" t="s">
        <v>530</v>
      </c>
      <c r="G5" s="1847" t="s">
        <v>176</v>
      </c>
      <c r="H5" s="1847" t="s">
        <v>902</v>
      </c>
      <c r="I5" s="1847" t="s">
        <v>903</v>
      </c>
      <c r="J5" s="1847" t="s">
        <v>906</v>
      </c>
      <c r="K5" s="1847" t="s">
        <v>907</v>
      </c>
      <c r="L5" s="1847" t="s">
        <v>784</v>
      </c>
      <c r="M5" s="1847" t="s">
        <v>928</v>
      </c>
      <c r="N5" s="1847" t="s">
        <v>908</v>
      </c>
      <c r="O5" s="1847" t="s">
        <v>904</v>
      </c>
      <c r="P5" s="1847" t="s">
        <v>232</v>
      </c>
      <c r="Q5" s="1847" t="s">
        <v>883</v>
      </c>
      <c r="R5" s="1847" t="s">
        <v>929</v>
      </c>
      <c r="S5" s="1847" t="str">
        <f>"Ingreso Computable 2003" &amp; IF(OR(EXACT(LEFT(boletin,2),"04"),EXACT(LEFT(boletin,2),"14"),EXACT(LEFT(boletin,2),"17"))," (Civil + Penal)","")</f>
        <v>Ingreso Computable 2003</v>
      </c>
      <c r="T5" s="1847" t="s">
        <v>905</v>
      </c>
      <c r="U5" s="1880" t="str">
        <f>"% Ingreso Computable 2003" &amp; IF(OR(EXACT(LEFT(boletin,2),"04"),EXACT(LEFT(boletin,2),"14"),EXACT(LEFT(boletin,2),"17"))," (Civil + Penal)","")</f>
        <v>% Ingreso Computable 2003</v>
      </c>
      <c r="V5" s="1880" t="s">
        <v>909</v>
      </c>
      <c r="W5" s="1847" t="s">
        <v>1040</v>
      </c>
      <c r="X5" s="1847" t="s">
        <v>1041</v>
      </c>
      <c r="Y5" s="1859" t="s">
        <v>874</v>
      </c>
      <c r="Z5" s="1909" t="str">
        <f>"RESOLUCION Nº  H/P" &amp; IF(OR(EXACT(LEFT(boletin,2),"04"),EXACT(LEFT(boletin,2),"14"),EXACT(LEFT(boletin,2),"17"))," (Civil + Penal)","")</f>
        <v>RESOLUCION Nº  H/P</v>
      </c>
      <c r="AA5" s="1912" t="str">
        <f>" % S/Iindicador  De  Resolución (Horas punto)" &amp; IF(OR(EXACT(LEFT(boletin,2),"04"),EXACT(LEFT(boletin,2),"14"),EXACT(LEFT(boletin,2),"17"))," (Civil + Penal)","")</f>
        <v xml:space="preserve"> % S/Iindicador  De  Resolución (Horas punto)</v>
      </c>
      <c r="AB5" s="1909" t="s">
        <v>910</v>
      </c>
      <c r="AC5" s="1909" t="s">
        <v>911</v>
      </c>
      <c r="AD5" s="1909" t="s">
        <v>912</v>
      </c>
      <c r="AE5" s="1909" t="s">
        <v>913</v>
      </c>
      <c r="AF5" s="1847" t="s">
        <v>914</v>
      </c>
      <c r="AG5" s="1847" t="s">
        <v>915</v>
      </c>
      <c r="AH5" s="1847" t="s">
        <v>916</v>
      </c>
      <c r="AI5" s="1847" t="s">
        <v>917</v>
      </c>
      <c r="AJ5" s="1847" t="s">
        <v>246</v>
      </c>
      <c r="AK5" s="1868" t="s">
        <v>719</v>
      </c>
      <c r="AL5" s="1868" t="s">
        <v>247</v>
      </c>
      <c r="AM5" s="1847" t="s">
        <v>763</v>
      </c>
      <c r="AN5" s="1847" t="s">
        <v>324</v>
      </c>
      <c r="AO5" s="1847" t="s">
        <v>325</v>
      </c>
      <c r="AP5" s="1847" t="s">
        <v>918</v>
      </c>
      <c r="AQ5" s="1847" t="s">
        <v>919</v>
      </c>
      <c r="AR5" s="1847" t="s">
        <v>920</v>
      </c>
      <c r="AS5" s="1847" t="s">
        <v>921</v>
      </c>
      <c r="AT5" s="1847" t="s">
        <v>922</v>
      </c>
      <c r="AU5" s="1847" t="s">
        <v>923</v>
      </c>
      <c r="AV5" s="1847" t="s">
        <v>924</v>
      </c>
      <c r="AW5" s="1847" t="s">
        <v>925</v>
      </c>
      <c r="AX5" s="1847" t="s">
        <v>439</v>
      </c>
      <c r="AY5" s="1847" t="s">
        <v>926</v>
      </c>
      <c r="AZ5" s="1847" t="s">
        <v>927</v>
      </c>
      <c r="BA5" s="1847" t="s">
        <v>718</v>
      </c>
      <c r="BB5" s="1718" t="s">
        <v>934</v>
      </c>
      <c r="BC5" s="1718" t="s">
        <v>935</v>
      </c>
      <c r="BD5" s="1885" t="s">
        <v>936</v>
      </c>
      <c r="BE5" s="1906"/>
      <c r="BF5" s="1907"/>
      <c r="BG5" s="1906"/>
      <c r="BH5" s="1907"/>
      <c r="BI5" s="1906"/>
      <c r="BJ5" s="1907"/>
      <c r="BK5" s="1906"/>
      <c r="BL5" s="1907"/>
    </row>
    <row r="6" spans="1:64" ht="21.75" customHeight="1">
      <c r="A6" s="1901"/>
      <c r="B6" s="883"/>
      <c r="C6" s="1903"/>
      <c r="D6" s="1848"/>
      <c r="E6" s="1848"/>
      <c r="F6" s="1886"/>
      <c r="G6" s="1848"/>
      <c r="H6" s="1848"/>
      <c r="I6" s="1848"/>
      <c r="J6" s="1848"/>
      <c r="K6" s="1848"/>
      <c r="L6" s="1848"/>
      <c r="M6" s="1848"/>
      <c r="N6" s="1848"/>
      <c r="O6" s="1848"/>
      <c r="P6" s="1848"/>
      <c r="Q6" s="1848"/>
      <c r="R6" s="1848"/>
      <c r="S6" s="1848"/>
      <c r="T6" s="1848"/>
      <c r="U6" s="1881"/>
      <c r="V6" s="1881"/>
      <c r="W6" s="1848"/>
      <c r="X6" s="1848"/>
      <c r="Y6" s="1860"/>
      <c r="Z6" s="1910"/>
      <c r="AA6" s="1913"/>
      <c r="AB6" s="1910"/>
      <c r="AC6" s="1910"/>
      <c r="AD6" s="1910"/>
      <c r="AE6" s="1910"/>
      <c r="AF6" s="1848"/>
      <c r="AG6" s="1848"/>
      <c r="AH6" s="1848"/>
      <c r="AI6" s="1848"/>
      <c r="AJ6" s="1848"/>
      <c r="AK6" s="1869"/>
      <c r="AL6" s="1869"/>
      <c r="AM6" s="1848"/>
      <c r="AN6" s="1848"/>
      <c r="AO6" s="1848"/>
      <c r="AP6" s="1848"/>
      <c r="AQ6" s="1848"/>
      <c r="AR6" s="1848"/>
      <c r="AS6" s="1848"/>
      <c r="AT6" s="1848"/>
      <c r="AU6" s="1848"/>
      <c r="AV6" s="1848"/>
      <c r="AW6" s="1848"/>
      <c r="AX6" s="1848"/>
      <c r="AY6" s="1848"/>
      <c r="AZ6" s="1848"/>
      <c r="BA6" s="1848"/>
      <c r="BB6" s="1719"/>
      <c r="BC6" s="1719"/>
      <c r="BD6" s="1886"/>
      <c r="BE6" s="1904"/>
      <c r="BF6" s="1904"/>
      <c r="BG6" s="1904"/>
      <c r="BH6" s="1904"/>
      <c r="BI6" s="1904"/>
      <c r="BJ6" s="1904"/>
      <c r="BK6" s="1904"/>
      <c r="BL6" s="1904"/>
    </row>
    <row r="7" spans="1:64" ht="38.25" customHeight="1" thickBot="1">
      <c r="A7" s="1902"/>
      <c r="B7" s="884"/>
      <c r="C7" s="885" t="str">
        <f>Datos!A7</f>
        <v>COMPETENCIAS</v>
      </c>
      <c r="D7" s="1849"/>
      <c r="E7" s="1849"/>
      <c r="F7" s="1887"/>
      <c r="G7" s="1849"/>
      <c r="H7" s="1849"/>
      <c r="I7" s="1849"/>
      <c r="J7" s="1849"/>
      <c r="K7" s="1849"/>
      <c r="L7" s="1849"/>
      <c r="M7" s="1849"/>
      <c r="N7" s="1849"/>
      <c r="O7" s="1849"/>
      <c r="P7" s="1849"/>
      <c r="Q7" s="1849"/>
      <c r="R7" s="1849"/>
      <c r="S7" s="1849"/>
      <c r="T7" s="1849"/>
      <c r="U7" s="1882"/>
      <c r="V7" s="1882"/>
      <c r="W7" s="1849"/>
      <c r="X7" s="1849"/>
      <c r="Y7" s="1861"/>
      <c r="Z7" s="1911"/>
      <c r="AA7" s="1914"/>
      <c r="AB7" s="1911"/>
      <c r="AC7" s="1911"/>
      <c r="AD7" s="1911"/>
      <c r="AE7" s="1911"/>
      <c r="AF7" s="1849"/>
      <c r="AG7" s="1849"/>
      <c r="AH7" s="1849"/>
      <c r="AI7" s="1849"/>
      <c r="AJ7" s="1849"/>
      <c r="AK7" s="1870"/>
      <c r="AL7" s="1870"/>
      <c r="AM7" s="1849"/>
      <c r="AN7" s="1849"/>
      <c r="AO7" s="1849"/>
      <c r="AP7" s="1849"/>
      <c r="AQ7" s="1849"/>
      <c r="AR7" s="1849"/>
      <c r="AS7" s="1849"/>
      <c r="AT7" s="1849"/>
      <c r="AU7" s="1849"/>
      <c r="AV7" s="1849"/>
      <c r="AW7" s="1849"/>
      <c r="AX7" s="1849"/>
      <c r="AY7" s="1849"/>
      <c r="AZ7" s="1849"/>
      <c r="BA7" s="1849"/>
      <c r="BB7" s="1908"/>
      <c r="BC7" s="1908"/>
      <c r="BD7" s="1887"/>
      <c r="BE7" s="1905"/>
      <c r="BF7" s="1905"/>
      <c r="BG7" s="1905"/>
      <c r="BH7" s="1905"/>
      <c r="BI7" s="1905"/>
      <c r="BJ7" s="1905"/>
      <c r="BK7" s="1905"/>
      <c r="BL7" s="1905"/>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0</v>
      </c>
      <c r="B9" s="749" t="s">
        <v>323</v>
      </c>
      <c r="C9" s="770" t="str">
        <f>Datos!A9</f>
        <v xml:space="preserve">Jdos. 1ª Instancia   </v>
      </c>
      <c r="D9" s="597"/>
      <c r="E9" s="907">
        <f>IF(ISNUMBER(Datos!AQ9),Datos!AQ9," - ")</f>
        <v>0</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1</v>
      </c>
      <c r="B10" s="750" t="s">
        <v>323</v>
      </c>
      <c r="C10" s="751" t="str">
        <f>Datos!A10</f>
        <v>Jdos. Violencia contra la mujer</v>
      </c>
      <c r="D10" s="605"/>
      <c r="E10" s="907">
        <f>IF(ISNUMBER(Datos!AQ10),Datos!AQ10," - ")</f>
        <v>0</v>
      </c>
      <c r="F10" s="908">
        <f>IF(ISNUMBER(Datos!L10+Datos!K10-Datos!J10),Datos!L10+Datos!K10-Datos!J10," - ")</f>
        <v>76</v>
      </c>
      <c r="G10" s="909">
        <f>IF(ISNUMBER(Datos!I10),Datos!I10," - ")</f>
        <v>76</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2</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t="str">
        <f>IF(ISNUMBER(DatosP!AS18/E10),DatosP!AS18/E10," - ")</f>
        <v xml:space="preserve"> - </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25</v>
      </c>
      <c r="AC10" s="908" t="str">
        <f>IF(ISNUMBER(IF(D_I="SI",DatosP!K18,DatosP!K18+DatosP!AE18)),IF(D_I="SI",DatosP!K18,DatosP!K18+DatosP!AE18)," - ")</f>
        <v xml:space="preserve"> - </v>
      </c>
      <c r="AD10" s="910"/>
      <c r="AE10" s="910"/>
      <c r="AF10" s="913">
        <f>IF(ISNUMBER(Datos!L10),Datos!L10,"-")</f>
        <v>111</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10</v>
      </c>
      <c r="AM10" s="917">
        <f>IF(ISNUMBER(Datos!N10+DatosP!N18),Datos!N10+DatosP!N18," - ")</f>
        <v>6</v>
      </c>
      <c r="AN10" s="917">
        <f>IF(ISNUMBER(Datos!BW10+DatosP!BW18),Datos!BW10+DatosP!BW18," - ")</f>
        <v>0</v>
      </c>
      <c r="AO10" s="918">
        <f>IF(ISNUMBER(Datos!BX10+DatosP!BX18),Datos!BX10+DatosP!BX18," - ")</f>
        <v>0</v>
      </c>
      <c r="AP10" s="920">
        <f>IF(ISNUMBER(((Datos!L10/Datos!K10)*11)/factor_trimestre),((Datos!L10/Datos!K10)*11)/factor_trimestre," - ")</f>
        <v>48.84</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0</v>
      </c>
      <c r="B11" s="750" t="s">
        <v>323</v>
      </c>
      <c r="C11" s="751" t="str">
        <f>Datos!A11</f>
        <v xml:space="preserve">Jdos. Familia                                   </v>
      </c>
      <c r="D11" s="605"/>
      <c r="E11" s="907">
        <f>IF(ISNUMBER(Datos!AQ11),Datos!AQ11," - ")</f>
        <v>0</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9</v>
      </c>
      <c r="B12" s="750" t="s">
        <v>323</v>
      </c>
      <c r="C12" s="751" t="str">
        <f>Datos!A12</f>
        <v xml:space="preserve">Jdos. 1ª Instª. e Instr.                        </v>
      </c>
      <c r="D12" s="605"/>
      <c r="E12" s="907">
        <f>IF(ISNUMBER(Datos!AQ12),Datos!AQ12," - ")</f>
        <v>9</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1707</v>
      </c>
      <c r="O12" s="910">
        <f>IF(ISNUMBER(DatosP!P17),DatosP!P17,0)</f>
        <v>0</v>
      </c>
      <c r="P12" s="910" t="str">
        <f>IF(ISNUMBER(DatosP!DE17),DatosP!DE17," - ")</f>
        <v xml:space="preserve"> - </v>
      </c>
      <c r="Q12" s="911"/>
      <c r="R12" s="911"/>
      <c r="S12" s="910" t="str">
        <f>IF(ISNUMBER(Datos!AS12*(2500/380)+DatosP!AS17),Datos!AS12*(2500/380)+DatosP!AS17," - ")</f>
        <v xml:space="preserve"> - </v>
      </c>
      <c r="T12" s="910">
        <f>IF(ISNUMBER(DatosP!AS17/E12),DatosP!AS17/E12," - ")</f>
        <v>0</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f>IF(ISNUMBER(Datos!Q12),Datos!Q12," - ")</f>
        <v>1741</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f>IF(ISNUMBER(Datos!R12),Datos!R12," - ")</f>
        <v>9731</v>
      </c>
      <c r="AI12" s="914" t="str">
        <f>IF(ISNUMBER(DatosP!R17),DatosP!R17," - ")</f>
        <v xml:space="preserve"> - </v>
      </c>
      <c r="AJ12" s="907">
        <f>IF(ISNUMBER(Datos!BV12+DatosP!BV17),Datos!BV12+DatosP!BV17," - ")</f>
        <v>0</v>
      </c>
      <c r="AK12" s="915" t="str">
        <f>IF(ISNUMBER(Datos!DV12),Datos!DV12," - ")</f>
        <v xml:space="preserve"> - </v>
      </c>
      <c r="AL12" s="908">
        <f>IF(ISNUMBER(Datos!M12+DatosP!M17),Datos!M12+DatosP!M17," - ")</f>
        <v>1431</v>
      </c>
      <c r="AM12" s="917">
        <f>IF(ISNUMBER(Datos!N12+DatosP!N17),Datos!N12+DatosP!N17," - ")</f>
        <v>1952</v>
      </c>
      <c r="AN12" s="917">
        <f>IF(ISNUMBER(Datos!BW12+DatosP!BW17),Datos!BW12+DatosP!BW17," - ")</f>
        <v>0</v>
      </c>
      <c r="AO12" s="918">
        <f>IF(ISNUMBER(Datos!BX12+DatosP!BX17),Datos!BX12+DatosP!BX17," - ")</f>
        <v>0</v>
      </c>
      <c r="AP12" s="920">
        <f>IF(ISNUMBER(((IF(J_V="SI",Datos!L12/Datos!K12,(Datos!L12+Datos!AB12)/(Datos!K12+Datos!AA12)))*11)/factor_trimestre),((IF(J_V="SI",Datos!L12/Datos!K12,(Datos!L12+Datos!AB12)/(Datos!K12+Datos!AA12)))*11)/factor_trimestre," - ")</f>
        <v>15.512723521320495</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f>IF(ISNUMBER((Datos!P12-Datos!Q12+Datos!DE12)/(Datos!R12-Datos!P12+Datos!Q12-Datos!DE12)),(Datos!P12-Datos!Q12+Datos!DE12)/(Datos!R12-Datos!P12+Datos!Q12-Datos!DE12)," - ")</f>
        <v>-3.4818228366615463E-3</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0</v>
      </c>
      <c r="B13" s="750" t="s">
        <v>323</v>
      </c>
      <c r="C13" s="751" t="str">
        <f>Datos!A13</f>
        <v xml:space="preserve">Jdos. de Menores    </v>
      </c>
      <c r="D13" s="605"/>
      <c r="E13" s="907">
        <f>IF(ISNUMBER(Datos!AQ13),Datos!AQ13," - ")</f>
        <v>0</v>
      </c>
      <c r="F13" s="908" t="str">
        <f>IF(ISNUMBER(Datos!L13+Datos!K13-Datos!J13),Datos!L13+Datos!K13-Datos!J13," - ")</f>
        <v xml:space="preserve"> - </v>
      </c>
      <c r="G13" s="909" t="str">
        <f>IF(ISNUMBER(Datos!I13),Datos!I13," - ")</f>
        <v xml:space="preserve"> - </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t="str">
        <f>IF(ISNUMBER(Datos!L13),Datos!L13,"-")</f>
        <v>-</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9</v>
      </c>
      <c r="F14" s="1261">
        <f t="shared" si="0"/>
        <v>76</v>
      </c>
      <c r="G14" s="1261">
        <f t="shared" si="0"/>
        <v>76</v>
      </c>
      <c r="H14" s="1261">
        <f t="shared" si="0"/>
        <v>0</v>
      </c>
      <c r="I14" s="1263">
        <f t="shared" si="0"/>
        <v>0</v>
      </c>
      <c r="J14" s="1262">
        <f t="shared" si="0"/>
        <v>0</v>
      </c>
      <c r="K14" s="1262">
        <f t="shared" si="0"/>
        <v>0</v>
      </c>
      <c r="L14" s="1264">
        <f t="shared" si="0"/>
        <v>0</v>
      </c>
      <c r="M14" s="1264">
        <f t="shared" si="0"/>
        <v>0</v>
      </c>
      <c r="N14" s="1262">
        <f t="shared" si="0"/>
        <v>1709</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25</v>
      </c>
      <c r="AC14" s="1262">
        <f t="shared" si="1"/>
        <v>0</v>
      </c>
      <c r="AD14" s="1262">
        <f t="shared" si="1"/>
        <v>1741</v>
      </c>
      <c r="AE14" s="1262">
        <f t="shared" si="1"/>
        <v>0</v>
      </c>
      <c r="AF14" s="1262">
        <f t="shared" si="1"/>
        <v>111</v>
      </c>
      <c r="AG14" s="1262">
        <f t="shared" si="1"/>
        <v>0</v>
      </c>
      <c r="AH14" s="1262">
        <f t="shared" si="1"/>
        <v>9731</v>
      </c>
      <c r="AI14" s="1262">
        <f t="shared" si="1"/>
        <v>0</v>
      </c>
      <c r="AJ14" s="1262">
        <f t="shared" si="1"/>
        <v>0</v>
      </c>
      <c r="AK14" s="1262">
        <f t="shared" si="1"/>
        <v>0</v>
      </c>
      <c r="AL14" s="1262">
        <f t="shared" si="1"/>
        <v>1441</v>
      </c>
      <c r="AM14" s="1262">
        <f t="shared" si="1"/>
        <v>1958</v>
      </c>
      <c r="AN14" s="1262">
        <f t="shared" si="1"/>
        <v>0</v>
      </c>
      <c r="AO14" s="1262">
        <f t="shared" si="1"/>
        <v>0</v>
      </c>
      <c r="AP14" s="1267">
        <f>IF(ISNUMBER(((Datos!L14/Datos!K14)*11)/factor_trimestre),((Datos!L14/Datos!K14)*11)/factor_trimestre," - ")</f>
        <v>16.364383561643834</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-0.32894736842105265</v>
      </c>
      <c r="AU14" s="1262" t="str">
        <f>IF(ISNUMBER((DatosP!#REF!-DatosP!#REF!+DatosP!#REF!)/(DatosP!#REF!+DatosP!#REF!-DatosP!#REF!-DatosP!#REF!)),(DatosP!#REF!-DatosP!#REF!+DatosP!#REF!)/(DatosP!#REF!+DatosP!#REF!-DatosP!#REF!-DatosP!#REF!)," - ")</f>
        <v xml:space="preserve"> - </v>
      </c>
      <c r="AV14" s="1268">
        <f>SUBTOTAL(9,AV9:AV13)</f>
        <v>-3.4818228366615463E-3</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0</v>
      </c>
      <c r="B16" s="741" t="s">
        <v>514</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9</v>
      </c>
      <c r="B17" s="750" t="s">
        <v>514</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1</v>
      </c>
      <c r="B18" s="750" t="s">
        <v>514</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0</v>
      </c>
      <c r="B19" s="750" t="s">
        <v>514</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514</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4</v>
      </c>
      <c r="B21" s="750" t="s">
        <v>514</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514</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6.9779636808814525</v>
      </c>
      <c r="AQ23" s="1267">
        <f>IF(ISNUMBER(((Datos!M23/Datos!L23)*11)/factor_trimestre),((Datos!M23/Datos!L23)*11)/factor_trimestre," - ")</f>
        <v>5.0701190093277582</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-9.5760023074704353E-2</v>
      </c>
      <c r="AW23" s="1270">
        <f>IF(ISNUMBER((Datos!Q23-Datos!R23)/(Datos!S23-Datos!Q23+Datos!R23)),(Datos!Q23-Datos!R23)/(Datos!S23-Datos!Q23+Datos!R23)," - ")</f>
        <v>-0.4047402005469462</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769</v>
      </c>
      <c r="B25" s="604" t="s">
        <v>515</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t="str">
        <f>IF(ISNUMBER(((Datos!L26/Datos!K26)*11)/factor_trimestre),((Datos!L26/Datos!K26)*11)/factor_trimestre," - ")</f>
        <v xml:space="preserve"> - </v>
      </c>
      <c r="AQ26" s="1267" t="str">
        <f>IF(ISNUMBER(((Datos!M26/Datos!L26)*11)/factor_trimestre),((Datos!M26/Datos!L26)*11)/factor_trimestre," - ")</f>
        <v xml:space="preserve"> - </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t="str">
        <f>IF(ISNUMBER((Datos!P26-Datos!Q26)/(Datos!R26-Datos!P26+Datos!Q26)),(Datos!P26-Datos!Q26)/(Datos!R26-Datos!P26+Datos!Q26)," - ")</f>
        <v xml:space="preserve"> - </v>
      </c>
      <c r="AW26" s="1270" t="str">
        <f>IF(ISNUMBER((Datos!Q26-Datos!R26)/(Datos!S26-Datos!Q26+Datos!R26)),(Datos!Q26-Datos!R26)/(Datos!S26-Datos!Q26+Datos!R26)," - ")</f>
        <v xml:space="preserve"> - </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0</v>
      </c>
      <c r="B28" s="604" t="s">
        <v>516</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516</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t="str">
        <f>IF(ISNUMBER(((Datos!L30/Datos!K30)*11)/factor_trimestre),((Datos!L30/Datos!K30)*11)/factor_trimestre," - ")</f>
        <v xml:space="preserve"> - </v>
      </c>
      <c r="AQ30" s="1267" t="str">
        <f>IF(ISNUMBER(((Datos!M30/Datos!L30)*11)/factor_trimestre),((Datos!M30/Datos!L30)*11)/factor_trimestre," - ")</f>
        <v xml:space="preserve"> - </v>
      </c>
      <c r="AR30" s="1268" t="str">
        <f>IF(ISNUMBER(AT30/AV30),AT30/AV30," - ")</f>
        <v xml:space="preserve"> - </v>
      </c>
      <c r="AS30" s="1268" t="str">
        <f>IF(ISNUMBER(AV30/#REF!),AV30/#REF!," - ")</f>
        <v xml:space="preserve"> - </v>
      </c>
      <c r="AT30" s="1268"/>
      <c r="AU30" s="1268" t="str">
        <f>IF(ISNUMBER((I30-AC30+L30)/(G30-L30)),(I30-AC30+L30)/(G30-L30)," - ")</f>
        <v xml:space="preserve"> - </v>
      </c>
      <c r="AV30" s="1270" t="str">
        <f>IF(ISNUMBER((Datos!P30-Datos!Q30)/(Datos!R30-Datos!P30+Datos!Q30)),(Datos!P30-Datos!Q30)/(Datos!R30-Datos!P30+Datos!Q30)," - ")</f>
        <v xml:space="preserve"> - </v>
      </c>
      <c r="AW30" s="1270" t="str">
        <f>IF(ISNUMBER((Datos!Q30-Datos!R30)/(Datos!S30-Datos!Q30+Datos!R30)),(Datos!Q30-Datos!R30)/(Datos!S30-Datos!Q30+Datos!R30)," - ")</f>
        <v xml:space="preserve"> - </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9</v>
      </c>
      <c r="F31" s="1283">
        <f t="shared" si="8"/>
        <v>76</v>
      </c>
      <c r="G31" s="1283">
        <f t="shared" si="8"/>
        <v>76</v>
      </c>
      <c r="H31" s="1283">
        <f t="shared" si="8"/>
        <v>0</v>
      </c>
      <c r="I31" s="1284">
        <f t="shared" si="8"/>
        <v>0</v>
      </c>
      <c r="J31" s="1285">
        <f t="shared" si="8"/>
        <v>0</v>
      </c>
      <c r="K31" s="1285">
        <f t="shared" si="8"/>
        <v>0</v>
      </c>
      <c r="L31" s="1285">
        <f t="shared" si="8"/>
        <v>0</v>
      </c>
      <c r="M31" s="1285">
        <f t="shared" si="8"/>
        <v>0</v>
      </c>
      <c r="N31" s="1284">
        <f t="shared" si="8"/>
        <v>1709</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25</v>
      </c>
      <c r="AC31" s="1289">
        <f t="shared" si="9"/>
        <v>0</v>
      </c>
      <c r="AD31" s="1289">
        <f t="shared" si="9"/>
        <v>1741</v>
      </c>
      <c r="AE31" s="1289">
        <f t="shared" si="9"/>
        <v>0</v>
      </c>
      <c r="AF31" s="1290">
        <f t="shared" si="9"/>
        <v>111</v>
      </c>
      <c r="AG31" s="1290">
        <f t="shared" si="9"/>
        <v>0</v>
      </c>
      <c r="AH31" s="1290">
        <f t="shared" si="9"/>
        <v>9731</v>
      </c>
      <c r="AI31" s="1290">
        <f t="shared" si="9"/>
        <v>0</v>
      </c>
      <c r="AJ31" s="1291">
        <f t="shared" si="9"/>
        <v>0</v>
      </c>
      <c r="AK31" s="1291">
        <f t="shared" si="9"/>
        <v>0</v>
      </c>
      <c r="AL31" s="1283">
        <f t="shared" si="9"/>
        <v>1441</v>
      </c>
      <c r="AM31" s="1283">
        <f t="shared" si="9"/>
        <v>1958</v>
      </c>
      <c r="AN31" s="1283">
        <f t="shared" si="9"/>
        <v>0</v>
      </c>
      <c r="AO31" s="1283">
        <f t="shared" si="9"/>
        <v>0</v>
      </c>
      <c r="AP31" s="1283">
        <f>IF(ISNUMBER(((Datos!L31/Datos!K31)*11)/factor_trimestre),((Datos!L31/Datos!K31)*11)/factor_trimestre," - ")</f>
        <v>10.341886496039798</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-0.32894736842105265</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-4.1639285500925979E-2</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343</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30.4</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344</v>
      </c>
      <c r="D33" s="1007"/>
      <c r="E33" s="1008">
        <f>IF(ISNUMBER(STDEV(E8:E30)),STDEV(E8:E30),"-")</f>
        <v>3.9686269665968861</v>
      </c>
      <c r="F33" s="1009">
        <f>IF(ISNUMBER(STDEV(F8:F30)),STDEV(F8:F30),"-")</f>
        <v>41.626914370392626</v>
      </c>
      <c r="G33" s="1010">
        <f>IF(ISNUMBER(STDEV(G8:G30)),STDEV(G8:G30),"-")</f>
        <v>41.626914370392626</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13.693063937629153</v>
      </c>
      <c r="AC33" s="1011">
        <f>IF(ISNUMBER(STDEV(AC8:AC30)),STDEV(AC8:AC30),"-")</f>
        <v>0</v>
      </c>
      <c r="AD33" s="1014"/>
      <c r="AE33" s="1014"/>
      <c r="AF33" s="1014"/>
      <c r="AG33" s="1014"/>
      <c r="AH33" s="1014"/>
      <c r="AI33" s="1014"/>
      <c r="AJ33" s="1015">
        <f>IF(ISNUMBER(STDEV(AJ8:AJ30)),STDEV(AJ8:AJ30),"-")</f>
        <v>0</v>
      </c>
      <c r="AK33" s="1017"/>
      <c r="AL33" s="1009">
        <f>IF(ISNUMBER(STDEV(AL8:AL30)),STDEV(AL8:AL30),"-")</f>
        <v>740.27310275780428</v>
      </c>
      <c r="AM33" s="1009"/>
      <c r="AN33" s="1009">
        <f>IF(ISNUMBER(STDEV(AN8:AN30)),STDEV(AN8:AN30),"-")</f>
        <v>0</v>
      </c>
      <c r="AO33" s="1015">
        <f>IF(ISNUMBER(STDEV(AO8:AO30)),STDEV(AO8:AO30),"-")</f>
        <v>0</v>
      </c>
      <c r="AP33" s="1068">
        <f>IF(ISNUMBER(STDEV(AP8:AP30)),STDEV(AP8:AP30),"-")</f>
        <v>18.437903518425031</v>
      </c>
      <c r="AQ33" s="1068" t="str">
        <f>IF(ISNUMBER(STDEV(AQ8:AQ30)),STDEV(AQ8:AQ30),"-")</f>
        <v>-</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548</v>
      </c>
      <c r="AU34" s="1025" t="s">
        <v>548</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341</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342</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05 abr. 2022</v>
      </c>
      <c r="W42"/>
      <c r="X42"/>
    </row>
    <row r="44" spans="1:56">
      <c r="C44" s="1051"/>
      <c r="D44" s="1052"/>
      <c r="W44"/>
      <c r="X44"/>
    </row>
  </sheetData>
  <sheetProtection algorithmName="SHA-512" hashValue="zM+s9KSYgcCIr8ETB7dV34sPa3bzTASRNjYXhrwN7rTWOrXpBpyIjB6NOMDL7igtSzIJ9RACF8qDmym/aIkNzw==" saltValue="NKqO4FOMY9dn6rJREwImzA==" spinCount="100000" sheet="1" objects="1" scenarios="1"/>
  <mergeCells count="67">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BG6:BG7"/>
    <mergeCell ref="BH6:BH7"/>
    <mergeCell ref="AR5:AR7"/>
    <mergeCell ref="AT5:AT7"/>
    <mergeCell ref="AV5:AV7"/>
    <mergeCell ref="AS5:AS7"/>
    <mergeCell ref="AU5:AU7"/>
    <mergeCell ref="AW5:AW7"/>
    <mergeCell ref="AZ5:AZ7"/>
    <mergeCell ref="AN5:AN7"/>
    <mergeCell ref="AO5:AO7"/>
    <mergeCell ref="AP5:AP7"/>
    <mergeCell ref="AQ5:AQ7"/>
    <mergeCell ref="AJ5:AJ7"/>
    <mergeCell ref="AL5:AL7"/>
    <mergeCell ref="AM5:AM7"/>
    <mergeCell ref="AK5:AK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CATALUÑA</v>
      </c>
      <c r="C2" s="437"/>
      <c r="E2" s="437"/>
      <c r="F2" s="437"/>
      <c r="G2" s="437"/>
      <c r="H2" s="437"/>
    </row>
    <row r="3" spans="1:15" ht="39">
      <c r="A3" s="464" t="s">
        <v>283</v>
      </c>
      <c r="B3" s="440" t="str">
        <f>Criterios!A10 &amp;"  "&amp;Criterios!B10</f>
        <v>Provincias  BARCELONA</v>
      </c>
      <c r="C3" s="464"/>
      <c r="F3" s="437"/>
      <c r="G3" s="437"/>
      <c r="H3" s="437"/>
    </row>
    <row r="4" spans="1:15" ht="13.5" thickBot="1">
      <c r="A4" s="437"/>
      <c r="B4" s="440" t="str">
        <f>Criterios!A11 &amp;"  "&amp;Criterios!B11</f>
        <v>Resumenes por Partidos Judiciales  VILANOVA I LA GELTRU</v>
      </c>
      <c r="C4" s="437"/>
      <c r="E4" s="437"/>
      <c r="F4" s="437"/>
      <c r="G4" s="437"/>
      <c r="H4" s="437"/>
    </row>
    <row r="5" spans="1:15" ht="15.75" customHeight="1">
      <c r="A5" s="1565" t="str">
        <f>"Año:  " &amp;Criterios!B5</f>
        <v>Año:  2021</v>
      </c>
      <c r="B5" s="1555" t="s">
        <v>270</v>
      </c>
      <c r="C5" s="1568"/>
      <c r="D5" s="1555" t="s">
        <v>287</v>
      </c>
      <c r="E5" s="1573"/>
      <c r="F5" s="1568"/>
      <c r="G5" s="1555" t="s">
        <v>272</v>
      </c>
      <c r="H5" s="1556"/>
      <c r="I5" s="1555" t="s">
        <v>273</v>
      </c>
      <c r="J5" s="1556"/>
      <c r="K5" s="1555" t="s">
        <v>274</v>
      </c>
      <c r="L5" s="1567"/>
      <c r="M5" s="1568"/>
    </row>
    <row r="6" spans="1:15" ht="21.75" customHeight="1" thickBot="1">
      <c r="A6" s="1566"/>
      <c r="B6" s="1571"/>
      <c r="C6" s="1572"/>
      <c r="D6" s="1574"/>
      <c r="E6" s="1575"/>
      <c r="F6" s="1576"/>
      <c r="G6" s="1557"/>
      <c r="H6" s="1558"/>
      <c r="I6" s="1557"/>
      <c r="J6" s="1558"/>
      <c r="K6" s="1557"/>
      <c r="L6" s="1569"/>
      <c r="M6" s="1570"/>
    </row>
    <row r="7" spans="1:15" ht="38.25" customHeight="1" thickTop="1" thickBot="1">
      <c r="A7" s="441" t="str">
        <f>Datos!A7</f>
        <v>COMPETENCIAS</v>
      </c>
      <c r="B7" s="465" t="s">
        <v>154</v>
      </c>
      <c r="C7" s="465" t="s">
        <v>271</v>
      </c>
      <c r="D7" s="465" t="s">
        <v>154</v>
      </c>
      <c r="E7" s="465" t="s">
        <v>271</v>
      </c>
      <c r="F7" s="444" t="s">
        <v>11</v>
      </c>
      <c r="G7" s="465" t="s">
        <v>154</v>
      </c>
      <c r="H7" s="465" t="s">
        <v>275</v>
      </c>
      <c r="I7" s="465" t="s">
        <v>154</v>
      </c>
      <c r="J7" s="465" t="s">
        <v>275</v>
      </c>
      <c r="K7" s="465" t="s">
        <v>154</v>
      </c>
      <c r="L7" s="466" t="s">
        <v>275</v>
      </c>
      <c r="M7" s="466" t="s">
        <v>284</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0</v>
      </c>
      <c r="D9" s="452">
        <f>Datos!BK9</f>
        <v>0</v>
      </c>
      <c r="E9" s="452">
        <f>Datos!AQ9</f>
        <v>0</v>
      </c>
      <c r="F9" s="453" t="str">
        <f>IF(ISNUMBER(E9/Datos!BH9),E9/Datos!BH9," - ")</f>
        <v xml:space="preserve"> - </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0</v>
      </c>
      <c r="D10" s="452">
        <f>Datos!BK10</f>
        <v>0</v>
      </c>
      <c r="E10" s="452">
        <f>Datos!AQ10</f>
        <v>0</v>
      </c>
      <c r="F10" s="453">
        <f>IF(ISNUMBER(E10/Datos!BH10),E10/Datos!BH10," - ")</f>
        <v>0</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0</v>
      </c>
      <c r="D11" s="452">
        <f>Datos!BK11</f>
        <v>0</v>
      </c>
      <c r="E11" s="452">
        <f>Datos!AQ11</f>
        <v>0</v>
      </c>
      <c r="F11" s="453" t="str">
        <f>IF(ISNUMBER(E11/Datos!BH11),E11/Datos!BH11," - ")</f>
        <v xml:space="preserve"> - </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9</v>
      </c>
      <c r="D12" s="452">
        <f>Datos!BK12</f>
        <v>0</v>
      </c>
      <c r="E12" s="452">
        <f>Datos!AQ12</f>
        <v>9</v>
      </c>
      <c r="F12" s="453">
        <f>IF(ISNUMBER(E12/Datos!BH12),E12/Datos!BH12," - ")</f>
        <v>1</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0</v>
      </c>
      <c r="D13" s="452">
        <f>Datos!BK13</f>
        <v>0</v>
      </c>
      <c r="E13" s="452">
        <f>Datos!AQ13</f>
        <v>0</v>
      </c>
      <c r="F13" s="453" t="str">
        <f>IF(ISNUMBER(E13/Datos!BH13),E13/Datos!BH13," - ")</f>
        <v xml:space="preserve"> - </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0</v>
      </c>
      <c r="D16" s="452">
        <f>Datos!BK16</f>
        <v>0</v>
      </c>
      <c r="E16" s="452">
        <f>Datos!AQ16</f>
        <v>0</v>
      </c>
      <c r="F16" s="453" t="str">
        <f>IF(ISNUMBER(E16/Datos!BH16),E16/Datos!BH16," - ")</f>
        <v xml:space="preserve"> - </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9</v>
      </c>
      <c r="D17" s="452">
        <f>Datos!BK17</f>
        <v>0</v>
      </c>
      <c r="E17" s="452">
        <f>Datos!AQ17</f>
        <v>9</v>
      </c>
      <c r="F17" s="453">
        <f>IF(ISNUMBER(E17/Datos!BH17),E17/Datos!BH17," - ")</f>
        <v>1</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0</v>
      </c>
      <c r="D18" s="452">
        <f>Datos!BK18</f>
        <v>0</v>
      </c>
      <c r="E18" s="452">
        <f>Datos!AQ18</f>
        <v>0</v>
      </c>
      <c r="F18" s="453">
        <f>IF(ISNUMBER(E18/Datos!BH18),E18/Datos!BH18," - ")</f>
        <v>0</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0</v>
      </c>
      <c r="D19" s="452">
        <f>Datos!BK19</f>
        <v>0</v>
      </c>
      <c r="E19" s="452">
        <f>Datos!AQ19</f>
        <v>0</v>
      </c>
      <c r="F19" s="453" t="str">
        <f>IF(ISNUMBER(E19/Datos!BH19),E19/Datos!BH19," - ")</f>
        <v xml:space="preserve"> - </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4</v>
      </c>
      <c r="D21" s="452">
        <f>Datos!BK21</f>
        <v>0</v>
      </c>
      <c r="E21" s="452">
        <f>Datos!AQ21</f>
        <v>4</v>
      </c>
      <c r="F21" s="453">
        <f>IF(ISNUMBER(E21/Datos!BH21),E21/Datos!BH21," - ")</f>
        <v>1</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0</v>
      </c>
      <c r="D25" s="452">
        <f>Datos!BK25</f>
        <v>0</v>
      </c>
      <c r="E25" s="452">
        <f>Datos!AQ25</f>
        <v>0</v>
      </c>
      <c r="F25" s="453" t="str">
        <f>IF(ISNUMBER(E25/Datos!BH25),E25/Datos!BH25," - ")</f>
        <v xml:space="preserve"> - </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0</v>
      </c>
      <c r="D28" s="452">
        <f>Datos!BK28</f>
        <v>0</v>
      </c>
      <c r="E28" s="452">
        <f>Datos!AQ28</f>
        <v>0</v>
      </c>
      <c r="F28" s="453" t="str">
        <f>IF(ISNUMBER(E28/Datos!BH28),E28/Datos!BH28," - ")</f>
        <v xml:space="preserve"> - </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52"/>
      <c r="B34" s="1552"/>
      <c r="C34" s="1552"/>
      <c r="D34" s="1552"/>
    </row>
    <row r="35" spans="1:4">
      <c r="A35" s="440" t="str">
        <f>Criterios!A4</f>
        <v>Fecha Informe: 05 abr. 2022</v>
      </c>
      <c r="B35" s="440"/>
      <c r="C35" s="440"/>
    </row>
    <row r="39" spans="1:4">
      <c r="A39" s="463"/>
      <c r="B39" s="463"/>
      <c r="C39" s="463"/>
    </row>
  </sheetData>
  <sheetProtection algorithmName="SHA-512" hashValue="nRLO0W5vTQ/YLAi+Pguv5vNaTq3ZpNsu0qLQSAkf5AvhznewQdZ2ckYQq0uUFiXfvosIpSvr64AZaofziO7NXA==" saltValue="T4mlkHx5dimE/RpPzA6W3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CATALUÑA</v>
      </c>
      <c r="C2" s="476"/>
      <c r="D2" s="419"/>
    </row>
    <row r="3" spans="1:9" ht="19.5">
      <c r="A3" s="477" t="s">
        <v>16</v>
      </c>
      <c r="B3" s="478" t="str">
        <f>Criterios!A10 &amp;"  "&amp;Criterios!B10</f>
        <v>Provincias  BARCELONA</v>
      </c>
      <c r="C3" s="476"/>
      <c r="D3" s="477"/>
    </row>
    <row r="4" spans="1:9" ht="13.5" thickBot="1">
      <c r="B4" s="478" t="str">
        <f>Criterios!A11 &amp;"  "&amp;Criterios!B11</f>
        <v>Resumenes por Partidos Judiciales  VILANOVA I LA GELTRU</v>
      </c>
    </row>
    <row r="5" spans="1:9" ht="15.75" customHeight="1">
      <c r="A5" s="1565" t="str">
        <f>"Año:  " &amp;Criterios!B5 &amp; "                  Trimestre   " &amp;Criterios!D5 &amp; " al " &amp;Criterios!D6</f>
        <v>Año:  2021                  Trimestre   1 al 4</v>
      </c>
      <c r="B5" s="1577" t="s">
        <v>163</v>
      </c>
      <c r="C5" s="1579" t="s">
        <v>170</v>
      </c>
      <c r="D5" s="1555" t="s">
        <v>119</v>
      </c>
      <c r="E5" s="1556"/>
      <c r="F5" s="1555" t="s">
        <v>120</v>
      </c>
      <c r="G5" s="1560"/>
      <c r="H5" s="1555" t="s">
        <v>301</v>
      </c>
      <c r="I5" s="1560"/>
    </row>
    <row r="6" spans="1:9" ht="14.25" customHeight="1" thickBot="1">
      <c r="A6" s="1566"/>
      <c r="B6" s="1578"/>
      <c r="C6" s="1580"/>
      <c r="D6" s="1557"/>
      <c r="E6" s="1558"/>
      <c r="F6" s="1557"/>
      <c r="G6" s="1561"/>
      <c r="H6" s="1557"/>
      <c r="I6" s="1561"/>
    </row>
    <row r="7" spans="1:9" ht="46.5" customHeight="1" thickTop="1" thickBot="1">
      <c r="A7" s="441" t="str">
        <f>Datos!A7</f>
        <v>COMPETENCIAS</v>
      </c>
      <c r="B7" s="479" t="s">
        <v>164</v>
      </c>
      <c r="C7" s="465" t="s">
        <v>164</v>
      </c>
      <c r="D7" s="443" t="s">
        <v>127</v>
      </c>
      <c r="E7" s="444" t="s">
        <v>11</v>
      </c>
      <c r="F7" s="443" t="s">
        <v>128</v>
      </c>
      <c r="G7" s="444" t="s">
        <v>11</v>
      </c>
      <c r="H7" s="443" t="s">
        <v>302</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0</v>
      </c>
      <c r="C9" s="459">
        <f>Datos!AQ9</f>
        <v>0</v>
      </c>
      <c r="D9" s="452" t="str">
        <f>IF(ISNUMBER(Datos!M9),Datos!M9," - ")</f>
        <v xml:space="preserve"> - </v>
      </c>
      <c r="E9" s="453" t="str">
        <f t="shared" ref="E9:E14" si="0">IF(ISNUMBER(D9/B9),D9/B9," - ")</f>
        <v xml:space="preserve"> - </v>
      </c>
      <c r="F9" s="452" t="str">
        <f>IF(ISNUMBER(Datos!N9),Datos!N9," - ")</f>
        <v xml:space="preserve"> - </v>
      </c>
      <c r="G9" s="453" t="str">
        <f t="shared" ref="G9:G14" si="1">IF(ISNUMBER(F9/B9),F9/B9," - ")</f>
        <v xml:space="preserve"> - </v>
      </c>
      <c r="H9" s="452" t="str">
        <f>IF(ISNUMBER(Datos!O9),Datos!O9," - ")</f>
        <v xml:space="preserve"> - </v>
      </c>
      <c r="I9" s="453" t="str">
        <f>IF(ISNUMBER(H9/B9),H9/B9," - ")</f>
        <v xml:space="preserve"> - </v>
      </c>
    </row>
    <row r="10" spans="1:9">
      <c r="A10" s="451" t="str">
        <f>Datos!A10</f>
        <v>Jdos. Violencia contra la mujer</v>
      </c>
      <c r="B10" s="481">
        <f>Datos!AO10</f>
        <v>1</v>
      </c>
      <c r="C10" s="459">
        <f>Datos!AQ10</f>
        <v>0</v>
      </c>
      <c r="D10" s="452">
        <f>IF(ISNUMBER(Datos!M10),Datos!M10," - ")</f>
        <v>10</v>
      </c>
      <c r="E10" s="453">
        <f>IF(ISNUMBER(D10/B10),D10/B10," - ")</f>
        <v>10</v>
      </c>
      <c r="F10" s="452">
        <f>IF(ISNUMBER(Datos!N10),Datos!N10," - ")</f>
        <v>6</v>
      </c>
      <c r="G10" s="453">
        <f>IF(ISNUMBER(F10/B10),F10/B10," - ")</f>
        <v>6</v>
      </c>
      <c r="H10" s="452">
        <f>IF(ISNUMBER(Datos!O10),Datos!O10," - ")</f>
        <v>8</v>
      </c>
      <c r="I10" s="453">
        <f t="shared" ref="I10:I13" si="2">IF(ISNUMBER(H10/B10),H10/B10," - ")</f>
        <v>8</v>
      </c>
    </row>
    <row r="11" spans="1:9">
      <c r="A11" s="451" t="str">
        <f>Datos!A11</f>
        <v xml:space="preserve">Jdos. Familia                                   </v>
      </c>
      <c r="B11" s="481">
        <f>Datos!AO11</f>
        <v>0</v>
      </c>
      <c r="C11" s="459">
        <f>Datos!AQ11</f>
        <v>0</v>
      </c>
      <c r="D11" s="452" t="str">
        <f>IF(ISNUMBER(Datos!M11),Datos!M11," - ")</f>
        <v xml:space="preserve"> - </v>
      </c>
      <c r="E11" s="453" t="str">
        <f t="shared" si="0"/>
        <v xml:space="preserve"> - </v>
      </c>
      <c r="F11" s="452" t="str">
        <f>IF(ISNUMBER(Datos!N11),Datos!N11," - ")</f>
        <v xml:space="preserve"> - </v>
      </c>
      <c r="G11" s="453" t="str">
        <f t="shared" si="1"/>
        <v xml:space="preserve"> - </v>
      </c>
      <c r="H11" s="452" t="str">
        <f>IF(ISNUMBER(Datos!O11),Datos!O11," - ")</f>
        <v xml:space="preserve"> - </v>
      </c>
      <c r="I11" s="453" t="str">
        <f t="shared" si="2"/>
        <v xml:space="preserve"> - </v>
      </c>
    </row>
    <row r="12" spans="1:9">
      <c r="A12" s="451" t="str">
        <f>Datos!A12</f>
        <v xml:space="preserve">Jdos. 1ª Instª. e Instr.                        </v>
      </c>
      <c r="B12" s="481">
        <f>Datos!AO12</f>
        <v>9</v>
      </c>
      <c r="C12" s="459">
        <f>Datos!AQ12</f>
        <v>9</v>
      </c>
      <c r="D12" s="452">
        <f>IF(ISNUMBER(Datos!M12),Datos!M12," - ")</f>
        <v>1431</v>
      </c>
      <c r="E12" s="453">
        <f t="shared" si="0"/>
        <v>159</v>
      </c>
      <c r="F12" s="452">
        <f>IF(ISNUMBER(Datos!N12),Datos!N12," - ")</f>
        <v>1952</v>
      </c>
      <c r="G12" s="453">
        <f t="shared" si="1"/>
        <v>216.88888888888889</v>
      </c>
      <c r="H12" s="452">
        <f>IF(ISNUMBER(Datos!O12),Datos!O12," - ")</f>
        <v>2444</v>
      </c>
      <c r="I12" s="453">
        <f t="shared" si="2"/>
        <v>271.55555555555554</v>
      </c>
    </row>
    <row r="13" spans="1:9" ht="13.5" thickBot="1">
      <c r="A13" s="451" t="str">
        <f>Datos!A13</f>
        <v xml:space="preserve">Jdos. de Menores    </v>
      </c>
      <c r="B13" s="481">
        <f>Datos!AO13</f>
        <v>0</v>
      </c>
      <c r="C13" s="459">
        <f>Datos!AQ13</f>
        <v>0</v>
      </c>
      <c r="D13" s="452" t="str">
        <f>IF(ISNUMBER(Datos!M13),Datos!M13," - ")</f>
        <v xml:space="preserve"> - </v>
      </c>
      <c r="E13" s="453" t="str">
        <f>IF(ISNUMBER(D13/B13),D13/B13," - ")</f>
        <v xml:space="preserve"> - </v>
      </c>
      <c r="F13" s="452" t="str">
        <f>IF(ISNUMBER(Datos!N13),Datos!N13," - ")</f>
        <v xml:space="preserve"> - </v>
      </c>
      <c r="G13" s="453" t="str">
        <f>IF(ISNUMBER(F13/B13),F13/B13," - ")</f>
        <v xml:space="preserve"> - </v>
      </c>
      <c r="H13" s="452" t="str">
        <f>IF(ISNUMBER(Datos!O13),Datos!O13," - ")</f>
        <v xml:space="preserve"> - </v>
      </c>
      <c r="I13" s="453" t="str">
        <f t="shared" si="2"/>
        <v xml:space="preserve"> - </v>
      </c>
    </row>
    <row r="14" spans="1:9" ht="14.25" thickTop="1" thickBot="1">
      <c r="A14" s="1148" t="str">
        <f>Datos!A14</f>
        <v>TOTAL</v>
      </c>
      <c r="B14" s="1149">
        <f>Datos!AO14</f>
        <v>10</v>
      </c>
      <c r="C14" s="1151">
        <f>Datos!AR14</f>
        <v>9</v>
      </c>
      <c r="D14" s="1149">
        <f>SUBTOTAL(9,D9:D13)</f>
        <v>1441</v>
      </c>
      <c r="E14" s="1150">
        <f t="shared" si="0"/>
        <v>144.1</v>
      </c>
      <c r="F14" s="1149">
        <f>SUBTOTAL(9,F9:F13)</f>
        <v>1958</v>
      </c>
      <c r="G14" s="1150">
        <f t="shared" si="1"/>
        <v>195.8</v>
      </c>
      <c r="H14" s="1149">
        <f>SUBTOTAL(9,H9:H13)</f>
        <v>2452</v>
      </c>
      <c r="I14" s="1150">
        <f>IF(ISNUMBER(H14/B14),H14/B14," - ")</f>
        <v>245.2</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0</v>
      </c>
      <c r="C16" s="482">
        <f>Datos!AQ16</f>
        <v>0</v>
      </c>
      <c r="D16" s="452" t="str">
        <f>IF(ISNUMBER(Datos!M16),Datos!M16," - ")</f>
        <v xml:space="preserve"> - </v>
      </c>
      <c r="E16" s="453" t="str">
        <f t="shared" ref="E16:E23" si="3">IF(ISNUMBER(D16/B16),D16/B16," - ")</f>
        <v xml:space="preserve"> - </v>
      </c>
      <c r="F16" s="452" t="str">
        <f>IF(ISNUMBER(Datos!N16),Datos!N16," - ")</f>
        <v xml:space="preserve"> - </v>
      </c>
      <c r="G16" s="453" t="str">
        <f t="shared" ref="G16:G23" si="4">IF(ISNUMBER(F16/B16),F16/B16," - ")</f>
        <v xml:space="preserve"> - </v>
      </c>
      <c r="H16" s="452" t="str">
        <f>IF(ISNUMBER(Datos!O16),Datos!O16," - ")</f>
        <v xml:space="preserve"> - </v>
      </c>
      <c r="I16" s="453" t="str">
        <f t="shared" ref="I16:I22" si="5">IF(ISNUMBER(H16/B16),H16/B16," - ")</f>
        <v xml:space="preserve"> - </v>
      </c>
    </row>
    <row r="17" spans="1:9">
      <c r="A17" s="451" t="str">
        <f>Datos!A17</f>
        <v xml:space="preserve">Jdos. 1ª Instª. e Instr.                        </v>
      </c>
      <c r="B17" s="481">
        <f>Datos!AO17</f>
        <v>9</v>
      </c>
      <c r="C17" s="482">
        <f>Datos!AQ17</f>
        <v>9</v>
      </c>
      <c r="D17" s="452">
        <f>IF(ISNUMBER(Datos!M17),Datos!M17," - ")</f>
        <v>1024</v>
      </c>
      <c r="E17" s="453">
        <f t="shared" si="3"/>
        <v>113.77777777777777</v>
      </c>
      <c r="F17" s="452">
        <f>IF(ISNUMBER(Datos!N17),Datos!N17," - ")</f>
        <v>4297</v>
      </c>
      <c r="G17" s="453">
        <f t="shared" si="4"/>
        <v>477.44444444444446</v>
      </c>
      <c r="H17" s="452">
        <f>IF(ISNUMBER(Datos!O17),Datos!O17," - ")</f>
        <v>86</v>
      </c>
      <c r="I17" s="453">
        <f t="shared" si="5"/>
        <v>9.5555555555555554</v>
      </c>
    </row>
    <row r="18" spans="1:9">
      <c r="A18" s="451" t="str">
        <f>Datos!A18</f>
        <v>Jdos. Violencia contra la mujer</v>
      </c>
      <c r="B18" s="481">
        <f>Datos!AO18</f>
        <v>1</v>
      </c>
      <c r="C18" s="482">
        <f>Datos!AQ18</f>
        <v>0</v>
      </c>
      <c r="D18" s="452">
        <f>IF(ISNUMBER(Datos!M18),Datos!M18," - ")</f>
        <v>11</v>
      </c>
      <c r="E18" s="453">
        <f>IF(ISNUMBER(D18/B18),D18/B18," - ")</f>
        <v>11</v>
      </c>
      <c r="F18" s="452">
        <f>IF(ISNUMBER(Datos!N18),Datos!N18," - ")</f>
        <v>115</v>
      </c>
      <c r="G18" s="453">
        <f>IF(ISNUMBER(F18/B18),F18/B18," - ")</f>
        <v>115</v>
      </c>
      <c r="H18" s="452">
        <f>IF(ISNUMBER(Datos!O18),Datos!O18," - ")</f>
        <v>0</v>
      </c>
      <c r="I18" s="453">
        <f t="shared" si="5"/>
        <v>0</v>
      </c>
    </row>
    <row r="19" spans="1:9">
      <c r="A19" s="451" t="str">
        <f>Datos!A19</f>
        <v xml:space="preserve">Jdos. de Menores                                </v>
      </c>
      <c r="B19" s="481">
        <f>Datos!AO19</f>
        <v>0</v>
      </c>
      <c r="C19" s="482">
        <f>Datos!AQ19</f>
        <v>0</v>
      </c>
      <c r="D19" s="452" t="str">
        <f>IF(ISNUMBER(Datos!M19),Datos!M19," - ")</f>
        <v xml:space="preserve"> - </v>
      </c>
      <c r="E19" s="453" t="str">
        <f t="shared" si="3"/>
        <v xml:space="preserve"> - </v>
      </c>
      <c r="F19" s="452" t="str">
        <f>IF(ISNUMBER(Datos!N19),Datos!N19," - ")</f>
        <v xml:space="preserve"> - </v>
      </c>
      <c r="G19" s="453" t="str">
        <f t="shared" si="4"/>
        <v xml:space="preserve"> - </v>
      </c>
      <c r="H19" s="452" t="str">
        <f>IF(ISNUMBER(Datos!O19),Datos!O19," - ")</f>
        <v xml:space="preserve"> - </v>
      </c>
      <c r="I19" s="453" t="str">
        <f t="shared" si="5"/>
        <v xml:space="preserve"> - </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t="str">
        <f>IF(ISNUMBER(Datos!N20),Datos!N20," - ")</f>
        <v xml:space="preserve"> - </v>
      </c>
      <c r="G20" s="453" t="str">
        <f t="shared" si="4"/>
        <v xml:space="preserve"> - </v>
      </c>
      <c r="H20" s="452" t="str">
        <f>IF(ISNUMBER(Datos!O20),Datos!O20," - ")</f>
        <v xml:space="preserve"> - </v>
      </c>
      <c r="I20" s="453" t="str">
        <f t="shared" si="5"/>
        <v xml:space="preserve"> - </v>
      </c>
    </row>
    <row r="21" spans="1:9">
      <c r="A21" s="451" t="str">
        <f>Datos!A21</f>
        <v xml:space="preserve">Jdos. de lo Penal                               </v>
      </c>
      <c r="B21" s="481">
        <f>Datos!AO21</f>
        <v>4</v>
      </c>
      <c r="C21" s="482">
        <f>Datos!AQ21</f>
        <v>4</v>
      </c>
      <c r="D21" s="452">
        <f>IF(ISNUMBER(Datos!M21),Datos!M21," - ")</f>
        <v>1831</v>
      </c>
      <c r="E21" s="453">
        <f t="shared" si="3"/>
        <v>457.75</v>
      </c>
      <c r="F21" s="452">
        <f>IF(ISNUMBER(Datos!N21),Datos!N21," - ")</f>
        <v>1417</v>
      </c>
      <c r="G21" s="453">
        <f t="shared" si="4"/>
        <v>354.25</v>
      </c>
      <c r="H21" s="452">
        <f>IF(ISNUMBER(Datos!O21),Datos!O21," - ")</f>
        <v>626</v>
      </c>
      <c r="I21" s="453">
        <f t="shared" si="5"/>
        <v>156.5</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14</v>
      </c>
      <c r="C23" s="1151">
        <f>Datos!AR23</f>
        <v>13</v>
      </c>
      <c r="D23" s="1149">
        <f>SUBTOTAL(9,D16:D22)</f>
        <v>2866</v>
      </c>
      <c r="E23" s="1150">
        <f t="shared" si="3"/>
        <v>204.71428571428572</v>
      </c>
      <c r="F23" s="1149">
        <f>SUBTOTAL(9,F16:F22)</f>
        <v>5829</v>
      </c>
      <c r="G23" s="1150">
        <f t="shared" si="4"/>
        <v>416.35714285714283</v>
      </c>
      <c r="H23" s="1149">
        <f>SUBTOTAL(9,H16:H22)</f>
        <v>712</v>
      </c>
      <c r="I23" s="1150">
        <f>IF(ISNUMBER(H23/B23),H23/B23," - ")</f>
        <v>50.857142857142854</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0</v>
      </c>
      <c r="C25" s="482">
        <f>Datos!AQ25</f>
        <v>0</v>
      </c>
      <c r="D25" s="452" t="str">
        <f>IF(ISNUMBER(Datos!M25),Datos!M25," - ")</f>
        <v xml:space="preserve"> - </v>
      </c>
      <c r="E25" s="453" t="str">
        <f t="shared" ref="E25:E26" si="6">IF(ISNUMBER(D25/B25),D25/B25," - ")</f>
        <v xml:space="preserve"> - </v>
      </c>
      <c r="F25" s="452" t="str">
        <f>IF(ISNUMBER(Datos!N25),Datos!N25," - ")</f>
        <v xml:space="preserve"> - </v>
      </c>
      <c r="G25" s="453" t="str">
        <f t="shared" ref="G25:G26" si="7">IF(ISNUMBER(F25/B25),F25/B25," - ")</f>
        <v xml:space="preserve"> - </v>
      </c>
      <c r="H25" s="452" t="str">
        <f>IF(ISNUMBER(Datos!O25),Datos!O25," - ")</f>
        <v xml:space="preserve"> - </v>
      </c>
      <c r="I25" s="453" t="str">
        <f t="shared" ref="I25:I26" si="8">IF(ISNUMBER(H25/B25),H25/B25," - ")</f>
        <v xml:space="preserve"> - </v>
      </c>
    </row>
    <row r="26" spans="1:9" ht="14.25" thickTop="1" thickBot="1">
      <c r="A26" s="1148" t="str">
        <f>Datos!A26</f>
        <v>TOTAL</v>
      </c>
      <c r="B26" s="1149">
        <f>Datos!AO26</f>
        <v>0</v>
      </c>
      <c r="C26" s="1151">
        <f>Datos!AR26</f>
        <v>0</v>
      </c>
      <c r="D26" s="1149">
        <f>SUBTOTAL(9,D25:D25)</f>
        <v>0</v>
      </c>
      <c r="E26" s="1150" t="str">
        <f t="shared" si="6"/>
        <v xml:space="preserve"> - </v>
      </c>
      <c r="F26" s="1149">
        <f>SUBTOTAL(9,F25:F25)</f>
        <v>0</v>
      </c>
      <c r="G26" s="1150" t="str">
        <f t="shared" si="7"/>
        <v xml:space="preserve"> - </v>
      </c>
      <c r="H26" s="1149">
        <f>SUBTOTAL(9,H25:H25)</f>
        <v>0</v>
      </c>
      <c r="I26" s="1150" t="str">
        <f t="shared" si="8"/>
        <v xml:space="preserve"> - </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0</v>
      </c>
      <c r="C28" s="483">
        <f>Datos!AQ28-IF(ISNUMBER(Datos!AQ29),Datos!AQ29,0)</f>
        <v>0</v>
      </c>
      <c r="D28" s="484" t="str">
        <f>IF(ISNUMBER(Datos!M28),Datos!M28," - ")</f>
        <v xml:space="preserve"> - </v>
      </c>
      <c r="E28" s="453" t="str">
        <f t="shared" ref="E28:E30" si="9">IF(ISNUMBER(D28/B28),D28/B28," - ")</f>
        <v xml:space="preserve"> - </v>
      </c>
      <c r="F28" s="452" t="str">
        <f>IF(ISNUMBER(Datos!N28),Datos!N28," - ")</f>
        <v xml:space="preserve"> - </v>
      </c>
      <c r="G28" s="453" t="str">
        <f t="shared" ref="G28:G30" si="10">IF(ISNUMBER(F28/B28),F28/B28," - ")</f>
        <v xml:space="preserve"> - </v>
      </c>
      <c r="H28" s="452" t="str">
        <f>IF(ISNUMBER(Datos!O28),Datos!O28," - ")</f>
        <v xml:space="preserve"> - </v>
      </c>
      <c r="I28" s="453" t="str">
        <f t="shared" ref="I28:I30" si="11">IF(ISNUMBER(H28/B28),H28/B28," - ")</f>
        <v xml:space="preserve"> - </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0</v>
      </c>
      <c r="C30" s="1151">
        <f>Datos!AR30</f>
        <v>0</v>
      </c>
      <c r="D30" s="1149">
        <f>SUBTOTAL(9,D28:D29)</f>
        <v>0</v>
      </c>
      <c r="E30" s="1150" t="str">
        <f t="shared" si="9"/>
        <v xml:space="preserve"> - </v>
      </c>
      <c r="F30" s="1149">
        <f>SUBTOTAL(9,F28:F29)</f>
        <v>0</v>
      </c>
      <c r="G30" s="1150" t="str">
        <f t="shared" si="10"/>
        <v xml:space="preserve"> - </v>
      </c>
      <c r="H30" s="1149">
        <f>SUBTOTAL(9,H28:H29)</f>
        <v>0</v>
      </c>
      <c r="I30" s="1150" t="str">
        <f t="shared" si="11"/>
        <v xml:space="preserve"> - </v>
      </c>
    </row>
    <row r="31" spans="1:9" ht="14.25" thickTop="1" thickBot="1">
      <c r="A31" s="1086" t="str">
        <f>Datos!A31</f>
        <v>TOTAL JURISDICCIONES</v>
      </c>
      <c r="B31" s="1087">
        <f>Datos!AP31</f>
        <v>13</v>
      </c>
      <c r="C31" s="1087">
        <f>Datos!AR31</f>
        <v>13</v>
      </c>
      <c r="D31" s="1087">
        <f>SUBTOTAL(9,D8:D30)</f>
        <v>4307</v>
      </c>
      <c r="E31" s="1088">
        <f>IF(ISNUMBER(D31/B31),D31/B31," - ")</f>
        <v>331.30769230769232</v>
      </c>
      <c r="F31" s="1087">
        <f>SUBTOTAL(9,F8:F30)</f>
        <v>7787</v>
      </c>
      <c r="G31" s="1088">
        <f>IF(ISNUMBER(F31/B31),F31/B31," - ")</f>
        <v>599</v>
      </c>
      <c r="H31" s="1087">
        <f>SUBTOTAL(9,H8:H30)</f>
        <v>3164</v>
      </c>
      <c r="I31" s="1088">
        <f>IF(ISNUMBER(H31/B31),H31/B31," - ")</f>
        <v>243.38461538461539</v>
      </c>
    </row>
    <row r="34" spans="1:1">
      <c r="A34" s="440" t="str">
        <f>Criterios!A4</f>
        <v>Fecha Informe: 05 abr. 2022</v>
      </c>
    </row>
    <row r="39" spans="1:1">
      <c r="A39" s="463"/>
    </row>
  </sheetData>
  <sheetProtection algorithmName="SHA-512" hashValue="qUaWuogFNwnyePWmryqgwF0C1UcUBrbg/R05RdZxX9kzU8ePt+rARuGBbNZ/9HkJWqxnnZvqUXfdw2cU8z2QAw==" saltValue="wr4K0WT00UXTiDkM/Iih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CATALUÑA</v>
      </c>
    </row>
    <row r="3" spans="1:4" ht="19.5">
      <c r="A3" s="485" t="s">
        <v>48</v>
      </c>
      <c r="B3" s="440" t="str">
        <f>Criterios!A10 &amp;"  "&amp;Criterios!B10</f>
        <v>Provincias  BARCELONA</v>
      </c>
    </row>
    <row r="4" spans="1:4" ht="13.5" thickBot="1">
      <c r="B4" s="440" t="str">
        <f>Criterios!A11 &amp;"  "&amp;Criterios!B11</f>
        <v>Resumenes por Partidos Judiciales  VILANOVA I LA GELTRU</v>
      </c>
    </row>
    <row r="5" spans="1:4" ht="12.75" customHeight="1">
      <c r="A5" s="1565" t="str">
        <f>"Año:  " &amp;Criterios!B5 &amp; "                  Trimestre   " &amp;Criterios!D5 &amp; " al " &amp;Criterios!D6</f>
        <v>Año:  2021                  Trimestre   1 al 4</v>
      </c>
      <c r="B5" s="1581" t="s">
        <v>15</v>
      </c>
      <c r="C5" s="1581" t="s">
        <v>19</v>
      </c>
      <c r="D5" s="1581" t="s">
        <v>177</v>
      </c>
    </row>
    <row r="6" spans="1:4" ht="15.75" customHeight="1">
      <c r="A6" s="1566"/>
      <c r="B6" s="1582"/>
      <c r="C6" s="1582"/>
      <c r="D6" s="1582"/>
    </row>
    <row r="7" spans="1:4" ht="26.25" customHeight="1" thickBot="1">
      <c r="A7" s="441" t="str">
        <f>Datos!A7</f>
        <v>COMPETENCIAS</v>
      </c>
      <c r="B7" s="1583"/>
      <c r="C7" s="1583"/>
      <c r="D7" s="1583"/>
    </row>
    <row r="8" spans="1:4">
      <c r="A8" s="445" t="str">
        <f>Datos!A8</f>
        <v>Jurisdicción Civil ( 1 ):</v>
      </c>
      <c r="B8" s="486"/>
      <c r="C8" s="487"/>
      <c r="D8" s="488"/>
    </row>
    <row r="9" spans="1:4">
      <c r="A9" s="451" t="str">
        <f>Datos!A9</f>
        <v xml:space="preserve">Jdos. 1ª Instancia   </v>
      </c>
      <c r="B9" s="489" t="str">
        <f>IF(ISNUMBER(Datos!P9),Datos!P9," - ")</f>
        <v xml:space="preserve"> - </v>
      </c>
      <c r="C9" s="490" t="str">
        <f>IF(ISNUMBER(Datos!Q9),Datos!Q9," - ")</f>
        <v xml:space="preserve"> - </v>
      </c>
      <c r="D9" s="457" t="str">
        <f>IF(ISNUMBER(Datos!R9),Datos!R9," - ")</f>
        <v xml:space="preserve"> - </v>
      </c>
    </row>
    <row r="10" spans="1:4">
      <c r="A10" s="451" t="str">
        <f>Datos!A10</f>
        <v>Jdos. Violencia contra la mujer</v>
      </c>
      <c r="B10" s="489">
        <f>IF(ISNUMBER(Datos!P10),Datos!P10," - ")</f>
        <v>2</v>
      </c>
      <c r="C10" s="490">
        <f>IF(ISNUMBER(Datos!Q10),Datos!Q10," - ")</f>
        <v>1</v>
      </c>
      <c r="D10" s="457">
        <f>IF(ISNUMBER(Datos!R10),Datos!R10," - ")</f>
        <v>41</v>
      </c>
    </row>
    <row r="11" spans="1:4">
      <c r="A11" s="451" t="str">
        <f>Datos!A11</f>
        <v xml:space="preserve">Jdos. Familia                                   </v>
      </c>
      <c r="B11" s="489" t="str">
        <f>IF(ISNUMBER(Datos!P11),Datos!P11," - ")</f>
        <v xml:space="preserve"> - </v>
      </c>
      <c r="C11" s="490" t="str">
        <f>IF(ISNUMBER(Datos!Q11),Datos!Q11," - ")</f>
        <v xml:space="preserve"> - </v>
      </c>
      <c r="D11" s="457" t="str">
        <f>IF(ISNUMBER(Datos!R11),Datos!R11," - ")</f>
        <v xml:space="preserve"> - </v>
      </c>
    </row>
    <row r="12" spans="1:4">
      <c r="A12" s="451" t="str">
        <f>Datos!A12</f>
        <v xml:space="preserve">Jdos. 1ª Instª. e Instr.                        </v>
      </c>
      <c r="B12" s="489">
        <f>IF(ISNUMBER(Datos!P12),Datos!P12," - ")</f>
        <v>1707</v>
      </c>
      <c r="C12" s="490">
        <f>IF(ISNUMBER(Datos!Q12),Datos!Q12," - ")</f>
        <v>1741</v>
      </c>
      <c r="D12" s="457">
        <f>IF(ISNUMBER(Datos!R12),Datos!R12," - ")</f>
        <v>9731</v>
      </c>
    </row>
    <row r="13" spans="1:4" ht="13.5" thickBot="1">
      <c r="A13" s="451" t="str">
        <f>Datos!A13</f>
        <v xml:space="preserve">Jdos. de Menores    </v>
      </c>
      <c r="B13" s="489" t="str">
        <f>IF(ISNUMBER(Datos!P13),Datos!P13," - ")</f>
        <v xml:space="preserve"> - </v>
      </c>
      <c r="C13" s="490" t="str">
        <f>IF(ISNUMBER(Datos!Q13),Datos!Q13," - ")</f>
        <v xml:space="preserve"> - </v>
      </c>
      <c r="D13" s="457" t="str">
        <f>IF(ISNUMBER(Datos!R13),Datos!R13," - ")</f>
        <v xml:space="preserve"> - </v>
      </c>
    </row>
    <row r="14" spans="1:4" ht="14.25" thickTop="1" thickBot="1">
      <c r="A14" s="1148" t="str">
        <f>Datos!A14</f>
        <v>TOTAL</v>
      </c>
      <c r="B14" s="1149">
        <f>SUBTOTAL(9,B9:B13)</f>
        <v>1709</v>
      </c>
      <c r="C14" s="1153">
        <f>SUBTOTAL(9,C9:C13)</f>
        <v>1742</v>
      </c>
      <c r="D14" s="1151">
        <f>SUBTOTAL(9,D9:D13)</f>
        <v>9772</v>
      </c>
    </row>
    <row r="15" spans="1:4" ht="13.5" thickTop="1">
      <c r="A15" s="445" t="str">
        <f>Datos!A15</f>
        <v xml:space="preserve">Jurisdicción Penal ( 2 ):                      </v>
      </c>
      <c r="B15" s="455"/>
      <c r="C15" s="491"/>
      <c r="D15" s="457"/>
    </row>
    <row r="16" spans="1:4">
      <c r="A16" s="451" t="str">
        <f>Datos!A16</f>
        <v xml:space="preserve">Jdos. Instrucción                               </v>
      </c>
      <c r="B16" s="489" t="str">
        <f>IF(ISNUMBER(Datos!P16),Datos!P16," - ")</f>
        <v xml:space="preserve"> - </v>
      </c>
      <c r="C16" s="490" t="str">
        <f>IF(ISNUMBER(Datos!Q16),Datos!Q16," - ")</f>
        <v xml:space="preserve"> - </v>
      </c>
      <c r="D16" s="457" t="str">
        <f>IF(ISNUMBER(Datos!R16),Datos!R16," - ")</f>
        <v xml:space="preserve"> - </v>
      </c>
    </row>
    <row r="17" spans="1:4">
      <c r="A17" s="451" t="str">
        <f>Datos!A17</f>
        <v xml:space="preserve">Jdos. 1ª Instª. e Instr.                        </v>
      </c>
      <c r="B17" s="489">
        <f>IF(ISNUMBER(Datos!P17),Datos!P17," - ")</f>
        <v>348</v>
      </c>
      <c r="C17" s="490">
        <f>IF(ISNUMBER(Datos!Q17),Datos!Q17," - ")</f>
        <v>252</v>
      </c>
      <c r="D17" s="457">
        <f>IF(ISNUMBER(Datos!R17),Datos!R17," - ")</f>
        <v>428</v>
      </c>
    </row>
    <row r="18" spans="1:4">
      <c r="A18" s="451" t="str">
        <f>Datos!A18</f>
        <v>Jdos. Violencia contra la mujer</v>
      </c>
      <c r="B18" s="489">
        <f>IF(ISNUMBER(Datos!P18),Datos!P18," - ")</f>
        <v>0</v>
      </c>
      <c r="C18" s="490">
        <f>IF(ISNUMBER(Datos!Q18),Datos!Q18," - ")</f>
        <v>0</v>
      </c>
      <c r="D18" s="457">
        <f>IF(ISNUMBER(Datos!R18),Datos!R18," - ")</f>
        <v>3</v>
      </c>
    </row>
    <row r="19" spans="1:4">
      <c r="A19" s="451" t="str">
        <f>Datos!A19</f>
        <v xml:space="preserve">Jdos. de Menores                                </v>
      </c>
      <c r="B19" s="489" t="str">
        <f>IF(ISNUMBER(Datos!P19),Datos!P19," - ")</f>
        <v xml:space="preserve"> - </v>
      </c>
      <c r="C19" s="490" t="str">
        <f>IF(ISNUMBER(Datos!Q19),Datos!Q19," - ")</f>
        <v xml:space="preserve"> - </v>
      </c>
      <c r="D19" s="457" t="str">
        <f>IF(ISNUMBER(Datos!R19),Datos!R19," - ")</f>
        <v xml:space="preserve"> - </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f>IF(ISNUMBER(Datos!P21),Datos!P21," - ")</f>
        <v>2150</v>
      </c>
      <c r="C21" s="490">
        <f>IF(ISNUMBER(Datos!Q21),Datos!Q21," - ")</f>
        <v>2910</v>
      </c>
      <c r="D21" s="457">
        <f>IF(ISNUMBER(Datos!R21),Datos!R21," - ")</f>
        <v>5839</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2498</v>
      </c>
      <c r="C23" s="1153">
        <f>SUBTOTAL(9,C16:C22)</f>
        <v>3162</v>
      </c>
      <c r="D23" s="1151">
        <f>SUBTOTAL(9,D16:D22)</f>
        <v>6270</v>
      </c>
    </row>
    <row r="24" spans="1:4" ht="13.5" thickTop="1">
      <c r="A24" s="445" t="str">
        <f>Datos!A24</f>
        <v xml:space="preserve">Jurisdicción Cont.-Admva.:                      </v>
      </c>
      <c r="B24" s="455"/>
      <c r="C24" s="491"/>
      <c r="D24" s="457"/>
    </row>
    <row r="25" spans="1:4" ht="13.5" thickBot="1">
      <c r="A25" s="451" t="str">
        <f>Datos!A25</f>
        <v xml:space="preserve">Jdos Cont.-Admvo.                               </v>
      </c>
      <c r="B25" s="489" t="str">
        <f>IF(ISNUMBER(Datos!P25),Datos!P25," - ")</f>
        <v xml:space="preserve"> - </v>
      </c>
      <c r="C25" s="490" t="str">
        <f>IF(ISNUMBER(Datos!Q25),Datos!Q25," - ")</f>
        <v xml:space="preserve"> - </v>
      </c>
      <c r="D25" s="457" t="str">
        <f>IF(ISNUMBER(Datos!R25),Datos!R25," - ")</f>
        <v xml:space="preserve"> - </v>
      </c>
    </row>
    <row r="26" spans="1:4" ht="14.25" thickTop="1" thickBot="1">
      <c r="A26" s="1148" t="str">
        <f>Datos!A26</f>
        <v>TOTAL</v>
      </c>
      <c r="B26" s="1149">
        <f>SUBTOTAL(9,B25:B25)</f>
        <v>0</v>
      </c>
      <c r="C26" s="1153">
        <f>SUBTOTAL(9,C25:C25)</f>
        <v>0</v>
      </c>
      <c r="D26" s="1151">
        <f>SUBTOTAL(9,D25:D25)</f>
        <v>0</v>
      </c>
    </row>
    <row r="27" spans="1:4" ht="13.5" thickTop="1">
      <c r="A27" s="445" t="str">
        <f>Datos!A27</f>
        <v xml:space="preserve">Jurisdicción Social:                            </v>
      </c>
      <c r="B27" s="455"/>
      <c r="C27" s="491"/>
      <c r="D27" s="457"/>
    </row>
    <row r="28" spans="1:4">
      <c r="A28" s="451" t="str">
        <f>Datos!A28</f>
        <v xml:space="preserve">Jdos. de lo Social                              </v>
      </c>
      <c r="B28" s="489" t="str">
        <f>IF(ISNUMBER(Datos!P28),Datos!P28," - ")</f>
        <v xml:space="preserve"> - </v>
      </c>
      <c r="C28" s="490" t="str">
        <f>IF(ISNUMBER(Datos!Q28),Datos!Q28," - ")</f>
        <v xml:space="preserve"> - </v>
      </c>
      <c r="D28" s="457" t="str">
        <f>IF(ISNUMBER(Datos!R28),Datos!R28," - ")</f>
        <v xml:space="preserve"> - </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0</v>
      </c>
      <c r="C30" s="1153">
        <f>SUBTOTAL(9,C28:C29)</f>
        <v>0</v>
      </c>
      <c r="D30" s="1151">
        <f>SUBTOTAL(9,D28:D29)</f>
        <v>0</v>
      </c>
    </row>
    <row r="31" spans="1:4" ht="16.5" customHeight="1" thickTop="1" thickBot="1">
      <c r="A31" s="1086" t="str">
        <f>Datos!A31</f>
        <v>TOTAL JURISDICCIONES</v>
      </c>
      <c r="B31" s="1091">
        <f>SUBTOTAL(9,B8:B30)</f>
        <v>4207</v>
      </c>
      <c r="C31" s="1092">
        <f>SUBTOTAL(9,C8:C30)</f>
        <v>4904</v>
      </c>
      <c r="D31" s="1093">
        <f>SUBTOTAL(9,D8:D30)</f>
        <v>16042</v>
      </c>
    </row>
    <row r="32" spans="1:4" ht="7.5" customHeight="1"/>
    <row r="33" spans="1:1" ht="6" customHeight="1"/>
    <row r="34" spans="1:1">
      <c r="A34" s="440" t="str">
        <f>Criterios!A4</f>
        <v>Fecha Informe: 05 abr. 2022</v>
      </c>
    </row>
    <row r="39" spans="1:1">
      <c r="A39" s="463"/>
    </row>
  </sheetData>
  <sheetProtection algorithmName="SHA-512" hashValue="7CkBXnTEwx4H31E6/Me8fpNGODhx9LgB+12AYY9v4G6xbreS7OydvK9paT2h6A1kjeDVyC39VMxGe1rl1HZimw==" saltValue="pyIa6AFA8vtm96QFS+M99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CATALUÑA</v>
      </c>
    </row>
    <row r="3" spans="1:11" ht="18.75" customHeight="1">
      <c r="A3" s="485" t="s">
        <v>165</v>
      </c>
      <c r="B3" s="440" t="str">
        <f>Criterios!A10 &amp;"  "&amp;Criterios!B10</f>
        <v>Provincias  BARCELONA</v>
      </c>
    </row>
    <row r="4" spans="1:11" ht="10.5" customHeight="1" thickBot="1">
      <c r="B4" s="440" t="str">
        <f>Criterios!A11 &amp;"  "&amp;Criterios!B11</f>
        <v>Resumenes por Partidos Judiciales  VILANOVA I LA GELTRU</v>
      </c>
    </row>
    <row r="5" spans="1:11" ht="12.75" customHeight="1">
      <c r="A5" s="1565" t="str">
        <f>"Año:  " &amp;Criterios!B5 &amp; "    Trimestre   " &amp;Criterios!D5 &amp; " al " &amp;Criterios!D6</f>
        <v>Año:  2021    Trimestre   1 al 4</v>
      </c>
      <c r="B5" s="1599" t="s">
        <v>176</v>
      </c>
      <c r="C5" s="1562" t="s">
        <v>18</v>
      </c>
      <c r="D5" s="1546" t="s">
        <v>14</v>
      </c>
      <c r="E5" s="1546" t="s">
        <v>177</v>
      </c>
      <c r="F5" s="1562" t="s">
        <v>12</v>
      </c>
      <c r="G5" s="1586" t="s">
        <v>13</v>
      </c>
      <c r="H5" s="1579" t="s">
        <v>166</v>
      </c>
      <c r="I5" s="1591" t="s">
        <v>167</v>
      </c>
      <c r="J5" s="1594" t="s">
        <v>168</v>
      </c>
      <c r="K5" s="1559" t="s">
        <v>169</v>
      </c>
    </row>
    <row r="6" spans="1:11" ht="12.75" customHeight="1">
      <c r="A6" s="1566"/>
      <c r="B6" s="1600"/>
      <c r="C6" s="1563"/>
      <c r="D6" s="1547"/>
      <c r="E6" s="1547"/>
      <c r="F6" s="1563"/>
      <c r="G6" s="1587"/>
      <c r="H6" s="1589"/>
      <c r="I6" s="1592"/>
      <c r="J6" s="1595"/>
      <c r="K6" s="1597"/>
    </row>
    <row r="7" spans="1:11" ht="23.25" customHeight="1" thickBot="1">
      <c r="A7" s="441" t="str">
        <f>Datos!A7</f>
        <v>COMPETENCIAS</v>
      </c>
      <c r="B7" s="1601"/>
      <c r="C7" s="1564"/>
      <c r="D7" s="1548"/>
      <c r="E7" s="1548"/>
      <c r="F7" s="1564"/>
      <c r="G7" s="1588"/>
      <c r="H7" s="1590"/>
      <c r="I7" s="1593"/>
      <c r="J7" s="1596"/>
      <c r="K7" s="1598"/>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t="str">
        <f>IF(ISNUMBER(
   IF(J_V="SI",(Datos!I9-Datos!S9)/Datos!S9,(Datos!I9+Datos!Y9-(Datos!S9+Datos!AG9))/(Datos!S9+Datos!AG9))
     ),IF(J_V="SI",(Datos!I9-Datos!S9)/Datos!S9,(Datos!I9+Datos!Y9-(Datos!S9+Datos!AG9))/(Datos!S9+Datos!AG9))," - ")</f>
        <v xml:space="preserve"> - </v>
      </c>
      <c r="C9" s="516" t="str">
        <f>IF(ISNUMBER(
   IF(J_V="SI",(Datos!J9-Datos!T9)/Datos!T9,(Datos!J9+Datos!Z9-(Datos!T9+Datos!AH9))/(Datos!T9+Datos!AH9))
     ),IF(J_V="SI",(Datos!J9-Datos!T9)/Datos!T9,(Datos!J9+Datos!Z9-(Datos!T9+Datos!AH9))/(Datos!T9+Datos!AH9))," - ")</f>
        <v xml:space="preserve"> - </v>
      </c>
      <c r="D9" s="516" t="str">
        <f>IF(ISNUMBER(
   IF(J_V="SI",(Datos!K9-Datos!U9)/Datos!U9,(Datos!K9+Datos!AA9-(Datos!U9+Datos!AI9))/(Datos!U9+Datos!AI9))
     ),IF(J_V="SI",(Datos!K9-Datos!U9)/Datos!U9,(Datos!K9+Datos!AA9-(Datos!U9+Datos!AI9))/(Datos!U9+Datos!AI9))," - ")</f>
        <v xml:space="preserve"> - </v>
      </c>
      <c r="E9" s="516" t="str">
        <f>IF(ISNUMBER(
   IF(J_V="SI",(Datos!L9-Datos!V9)/Datos!V9,(Datos!L9+Datos!AB9-(Datos!V9+Datos!AJ9))/(Datos!V9+Datos!AJ9))
     ),IF(J_V="SI",(Datos!L9-Datos!V9)/Datos!V9,(Datos!L9+Datos!AB9-(Datos!V9+Datos!AJ9))/(Datos!V9+Datos!AJ9))," - ")</f>
        <v xml:space="preserve"> - </v>
      </c>
      <c r="F9" s="516" t="str">
        <f>IF(ISNUMBER((Datos!M9-Datos!W9)/Datos!W9),(Datos!M9-Datos!W9)/Datos!W9," - ")</f>
        <v xml:space="preserve"> - </v>
      </c>
      <c r="G9" s="517" t="str">
        <f>IF(ISNUMBER((Datos!N9-Datos!X9)/Datos!X9),(Datos!N9-Datos!X9)/Datos!X9," - ")</f>
        <v xml:space="preserve"> - </v>
      </c>
      <c r="H9" s="515" t="str">
        <f>IF(ISNUMBER(((NºAsuntos!G9/NºAsuntos!E9)-Datos!BD9)/Datos!BD9),((NºAsuntos!G9/NºAsuntos!E9)-Datos!BD9)/Datos!BD9," - ")</f>
        <v xml:space="preserve"> - </v>
      </c>
      <c r="I9" s="516" t="str">
        <f>IF(ISNUMBER(((NºAsuntos!I9/NºAsuntos!G9)-Datos!BE9)/Datos!BE9),((NºAsuntos!I9/NºAsuntos!G9)-Datos!BE9)/Datos!BE9," - ")</f>
        <v xml:space="preserve"> - </v>
      </c>
      <c r="J9" s="522" t="str">
        <f>IF(ISNUMBER((('Resol  Asuntos'!D9/NºAsuntos!G9)-Datos!BF9)/Datos!BF9),(('Resol  Asuntos'!D9/NºAsuntos!G9)-Datos!BF9)/Datos!BF9," - ")</f>
        <v xml:space="preserve"> - </v>
      </c>
      <c r="K9" s="523" t="str">
        <f>IF(ISNUMBER((((NºAsuntos!C9+NºAsuntos!E9)/NºAsuntos!G9)-Datos!BG9)/Datos!BG9),(((NºAsuntos!C9+NºAsuntos!E9)/NºAsuntos!G9)-Datos!BG9)/Datos!BG9," - ")</f>
        <v xml:space="preserve"> - </v>
      </c>
    </row>
    <row r="10" spans="1:11">
      <c r="A10" s="451" t="str">
        <f>Datos!A10</f>
        <v>Jdos. Violencia contra la mujer</v>
      </c>
      <c r="B10" s="515">
        <f>IF(ISNUMBER((Datos!I10-Datos!S10)/Datos!S10),(Datos!I10-Datos!S10)/Datos!S10," - ")</f>
        <v>0.80952380952380953</v>
      </c>
      <c r="C10" s="516">
        <f>IF(ISNUMBER((Datos!J10-Datos!T10)/Datos!T10),(Datos!J10-Datos!T10)/Datos!T10," - ")</f>
        <v>0.30434782608695654</v>
      </c>
      <c r="D10" s="516">
        <f>IF(ISNUMBER((Datos!K10-Datos!U10)/Datos!U10),(Datos!K10-Datos!U10)/Datos!U10," - ")</f>
        <v>1.0833333333333333</v>
      </c>
      <c r="E10" s="516">
        <f>IF(ISNUMBER((Datos!L10-Datos!V10)/Datos!V10),(Datos!L10-Datos!V10)/Datos!V10," - ")</f>
        <v>0.46052631578947367</v>
      </c>
      <c r="F10" s="516">
        <f>IF(ISNUMBER((Datos!M10-Datos!W10)/Datos!W10),(Datos!M10-Datos!W10)/Datos!W10," - ")</f>
        <v>9</v>
      </c>
      <c r="G10" s="517">
        <f>IF(ISNUMBER((Datos!N10-Datos!X10)/Datos!X10),(Datos!N10-Datos!X10)/Datos!X10," - ")</f>
        <v>0</v>
      </c>
      <c r="H10" s="515">
        <f>IF(ISNUMBER(((NºAsuntos!G10/NºAsuntos!E10)-Datos!BD10)/Datos!BD10),((NºAsuntos!G10/NºAsuntos!E10)-Datos!BD10)/Datos!BD10," - ")</f>
        <v>0.59722222222222232</v>
      </c>
      <c r="I10" s="516">
        <f>IF(ISNUMBER(((NºAsuntos!I10/NºAsuntos!G10)-Datos!BE10)/Datos!BE10),((NºAsuntos!I10/NºAsuntos!G10)-Datos!BE10)/Datos!BE10," - ")</f>
        <v>-0.29894736842105252</v>
      </c>
      <c r="J10" s="522">
        <f>IF(ISNUMBER((('Resol  Asuntos'!D10/NºAsuntos!G10)-Datos!BF10)/Datos!BF10),(('Resol  Asuntos'!D10/NºAsuntos!G10)-Datos!BF10)/Datos!BF10," - ")</f>
        <v>3.8000000000000007</v>
      </c>
      <c r="K10" s="523">
        <f>IF(ISNUMBER((((NºAsuntos!C10+NºAsuntos!E10)/NºAsuntos!G10)-Datos!BG10)/Datos!BG10),(((NºAsuntos!C10+NºAsuntos!E10)/NºAsuntos!G10)-Datos!BG10)/Datos!BG10," - ")</f>
        <v>-0.25818181818181812</v>
      </c>
    </row>
    <row r="11" spans="1:11">
      <c r="A11" s="451" t="str">
        <f>Datos!A11</f>
        <v xml:space="preserve">Jdos. Familia                                   </v>
      </c>
      <c r="B11" s="515" t="str">
        <f>IF(ISNUMBER(
   IF(J_V="SI",(Datos!I11-Datos!S11)/Datos!S11,(Datos!I11+Datos!Y11-(Datos!S11+Datos!AG11))/(Datos!S11+Datos!AG11))
     ),IF(J_V="SI",(Datos!I11-Datos!S11)/Datos!S11,(Datos!I11+Datos!Y11-(Datos!S11+Datos!AG11))/(Datos!S11+Datos!AG11))," - ")</f>
        <v xml:space="preserve"> - </v>
      </c>
      <c r="C11" s="516" t="str">
        <f>IF(ISNUMBER(
   IF(J_V="SI",(Datos!J11-Datos!T11)/Datos!T11,(Datos!J11+Datos!Z11-(Datos!T11+Datos!AH11))/(Datos!T11+Datos!AH11))
     ),IF(J_V="SI",(Datos!J11-Datos!T11)/Datos!T11,(Datos!J11+Datos!Z11-(Datos!T11+Datos!AH11))/(Datos!T11+Datos!AH11))," - ")</f>
        <v xml:space="preserve"> - </v>
      </c>
      <c r="D11" s="516" t="str">
        <f>IF(ISNUMBER(
   IF(J_V="SI",(Datos!K11-Datos!U11)/Datos!U11,(Datos!K11+Datos!AA11-(Datos!U11+Datos!AI11))/(Datos!U11+Datos!AI11))
     ),IF(J_V="SI",(Datos!K11-Datos!U11)/Datos!U11,(Datos!K11+Datos!AA11-(Datos!U11+Datos!AI11))/(Datos!U11+Datos!AI11))," - ")</f>
        <v xml:space="preserve"> - </v>
      </c>
      <c r="E11" s="516" t="str">
        <f>IF(ISNUMBER(
   IF(J_V="SI",(Datos!L11-Datos!V11)/Datos!V11,(Datos!L11+Datos!AB11-(Datos!V11+Datos!AJ11))/(Datos!V11+Datos!AJ11))
     ),IF(J_V="SI",(Datos!L11-Datos!V11)/Datos!V11,(Datos!L11+Datos!AB11-(Datos!V11+Datos!AJ11))/(Datos!V11+Datos!AJ11))," - ")</f>
        <v xml:space="preserve"> - </v>
      </c>
      <c r="F11" s="516" t="str">
        <f>IF(ISNUMBER((Datos!M11-Datos!W11)/Datos!W11),(Datos!M11-Datos!W11)/Datos!W11," - ")</f>
        <v xml:space="preserve"> - </v>
      </c>
      <c r="G11" s="517" t="str">
        <f>IF(ISNUMBER((Datos!N11-Datos!X11)/Datos!X11),(Datos!N11-Datos!X11)/Datos!X11," - ")</f>
        <v xml:space="preserve"> - </v>
      </c>
      <c r="H11" s="515" t="str">
        <f>IF(ISNUMBER(((NºAsuntos!G11/NºAsuntos!E11)-Datos!BD11)/Datos!BD11),((NºAsuntos!G11/NºAsuntos!E11)-Datos!BD11)/Datos!BD11," - ")</f>
        <v xml:space="preserve"> - </v>
      </c>
      <c r="I11" s="516" t="str">
        <f>IF(ISNUMBER(((NºAsuntos!I11/NºAsuntos!G11)-Datos!BE11)/Datos!BE11),((NºAsuntos!I11/NºAsuntos!G11)-Datos!BE11)/Datos!BE11," - ")</f>
        <v xml:space="preserve"> - </v>
      </c>
      <c r="J11" s="522" t="str">
        <f>IF(ISNUMBER((('Resol  Asuntos'!D11/NºAsuntos!G11)-Datos!BF11)/Datos!BF11),(('Resol  Asuntos'!D11/NºAsuntos!G11)-Datos!BF11)/Datos!BF11," - ")</f>
        <v xml:space="preserve"> - </v>
      </c>
      <c r="K11" s="523" t="str">
        <f>IF(ISNUMBER((((NºAsuntos!C11+NºAsuntos!E11)/NºAsuntos!G11)-Datos!BG11)/Datos!BG11),(((NºAsuntos!C11+NºAsuntos!E11)/NºAsuntos!G11)-Datos!BG11)/Datos!BG11," - ")</f>
        <v xml:space="preserve"> - </v>
      </c>
    </row>
    <row r="12" spans="1:11">
      <c r="A12" s="451" t="str">
        <f>Datos!A12</f>
        <v xml:space="preserve">Jdos. 1ª Instª. e Instr.                        </v>
      </c>
      <c r="B12" s="515">
        <f>IF(ISNUMBER(
   IF(J_V="SI",(Datos!I12-Datos!S12)/Datos!S12,(Datos!I12+Datos!Y12-(Datos!S12+Datos!AG12))/(Datos!S12+Datos!AG12))
     ),IF(J_V="SI",(Datos!I12-Datos!S12)/Datos!S12,(Datos!I12+Datos!Y12-(Datos!S12+Datos!AG12))/(Datos!S12+Datos!AG12))," - ")</f>
        <v>0.41013243640950181</v>
      </c>
      <c r="C12" s="516">
        <f>IF(ISNUMBER(
   IF(J_V="SI",(Datos!J12-Datos!T12)/Datos!T12,(Datos!J12+Datos!Z12-(Datos!T12+Datos!AH12))/(Datos!T12+Datos!AH12))
     ),IF(J_V="SI",(Datos!J12-Datos!T12)/Datos!T12,(Datos!J12+Datos!Z12-(Datos!T12+Datos!AH12))/(Datos!T12+Datos!AH12))," - ")</f>
        <v>0.20799469232045115</v>
      </c>
      <c r="D12" s="516">
        <f>IF(ISNUMBER(
   IF(J_V="SI",(Datos!K12-Datos!U12)/Datos!U12,(Datos!K12+Datos!AA12-(Datos!U12+Datos!AI12))/(Datos!U12+Datos!AI12))
     ),IF(J_V="SI",(Datos!K12-Datos!U12)/Datos!U12,(Datos!K12+Datos!AA12-(Datos!U12+Datos!AI12))/(Datos!U12+Datos!AI12))," - ")</f>
        <v>0.32694501483002508</v>
      </c>
      <c r="E12" s="516">
        <f>IF(ISNUMBER(
   IF(J_V="SI",(Datos!L12-Datos!V12)/Datos!V12,(Datos!L12+Datos!AB12-(Datos!V12+Datos!AJ12))/(Datos!V12+Datos!AJ12))
     ),IF(J_V="SI",(Datos!L12-Datos!V12)/Datos!V12,(Datos!L12+Datos!AB12-(Datos!V12+Datos!AJ12))/(Datos!V12+Datos!AJ12))," - ")</f>
        <v>0.22271914132379247</v>
      </c>
      <c r="F12" s="516">
        <f>IF(ISNUMBER((Datos!M12-Datos!W12)/Datos!W12),(Datos!M12-Datos!W12)/Datos!W12," - ")</f>
        <v>0.27540106951871657</v>
      </c>
      <c r="G12" s="517">
        <f>IF(ISNUMBER((Datos!N12-Datos!X12)/Datos!X12),(Datos!N12-Datos!X12)/Datos!X12," - ")</f>
        <v>0.31625084288604183</v>
      </c>
      <c r="H12" s="515">
        <f>IF(ISNUMBER(((NºAsuntos!G12/NºAsuntos!E12)-Datos!BD12)/Datos!BD12),((NºAsuntos!G12/NºAsuntos!E12)-Datos!BD12)/Datos!BD12," - ")</f>
        <v>9.8469242676125376E-2</v>
      </c>
      <c r="I12" s="516">
        <f>IF(ISNUMBER(((NºAsuntos!I12/NºAsuntos!G12)-Datos!BE12)/Datos!BE12),((NºAsuntos!I12/NºAsuntos!G12)-Datos!BE12)/Datos!BE12," - ")</f>
        <v>-7.8545736516130935E-2</v>
      </c>
      <c r="J12" s="522">
        <f>IF(ISNUMBER((('Resol  Asuntos'!D12/NºAsuntos!G12)-Datos!BF12)/Datos!BF12),(('Resol  Asuntos'!D12/NºAsuntos!G12)-Datos!BF12)/Datos!BF12," - ")</f>
        <v>-0.27281392229773282</v>
      </c>
      <c r="K12" s="523">
        <f>IF(ISNUMBER((((NºAsuntos!C12+NºAsuntos!E12)/NºAsuntos!G12)-Datos!BG12)/Datos!BG12),(((NºAsuntos!C12+NºAsuntos!E12)/NºAsuntos!G12)-Datos!BG12)/Datos!BG12," - ")</f>
        <v>-2.2458028020937951E-2</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t="str">
        <f>IF(ISNUMBER((Datos!N13-Datos!X13)/Datos!X13),(Datos!N13-Datos!X13)/Datos!X13," - ")</f>
        <v xml:space="preserve"> - </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0.41362783913315276</v>
      </c>
      <c r="C14" s="1155">
        <f>IF(ISNUMBER(
   IF(J_V="SI",(Datos!J14-Datos!T14)/Datos!T14,(Datos!J14+Datos!Z14-(Datos!T14+Datos!AH14))/(Datos!T14+Datos!AH14))
     ),IF(J_V="SI",(Datos!J14-Datos!T14)/Datos!T14,(Datos!J14+Datos!Z14-(Datos!T14+Datos!AH14))/(Datos!T14+Datos!AH14))," - ")</f>
        <v>0.20872427983539094</v>
      </c>
      <c r="D14" s="1155">
        <f>IF(ISNUMBER(
   IF(J_V="SI",(Datos!K14-Datos!U14)/Datos!U14,(Datos!K14+Datos!AA14-(Datos!U14+Datos!AI14))/(Datos!U14+Datos!AI14))
     ),IF(J_V="SI",(Datos!K14-Datos!U14)/Datos!U14,(Datos!K14+Datos!AA14-(Datos!U14+Datos!AI14))/(Datos!U14+Datos!AI14))," - ")</f>
        <v>0.32901023890784981</v>
      </c>
      <c r="E14" s="1155">
        <f>IF(ISNUMBER(
   IF(J_V="SI",(Datos!L14-Datos!V14)/Datos!V14,(Datos!L14+Datos!AB14-(Datos!V14+Datos!AJ14))/(Datos!V14+Datos!AJ14))
     ),IF(J_V="SI",(Datos!L14-Datos!V14)/Datos!V14,(Datos!L14+Datos!AB14-(Datos!V14+Datos!AJ14))/(Datos!V14+Datos!AJ14))," - ")</f>
        <v>0.22538325471698112</v>
      </c>
      <c r="F14" s="1156">
        <f>IF(ISNUMBER((Datos!M14-Datos!W14)/Datos!W14),(Datos!M14-Datos!W14)/Datos!W14," - ")</f>
        <v>0.28317008014247552</v>
      </c>
      <c r="G14" s="1157">
        <f>IF(ISNUMBER((Datos!N14-Datos!X14)/Datos!X14),(Datos!N14-Datos!X14)/Datos!X14," - ")</f>
        <v>0.31497649429147079</v>
      </c>
      <c r="H14" s="1157">
        <f>IF(ISNUMBER(((NºAsuntos!G14/NºAsuntos!E14)-Datos!BD14)/Datos!BD14),((NºAsuntos!G14/NºAsuntos!E14)-Datos!BD14)/Datos!BD14," - ")</f>
        <v>9.9514803399862212E-2</v>
      </c>
      <c r="I14" s="1157">
        <f>IF(ISNUMBER(((NºAsuntos!I14/NºAsuntos!G14)-Datos!BE14)/Datos!BE14),((NºAsuntos!I14/NºAsuntos!G14)-Datos!BE14)/Datos!BE14," - ")</f>
        <v>-7.7973051792307554E-2</v>
      </c>
      <c r="J14" s="1157">
        <f>IF(ISNUMBER((('Resol  Asuntos'!D14/NºAsuntos!G14)-Datos!BF14)/Datos!BF14),(('Resol  Asuntos'!D14/NºAsuntos!G14)-Datos!BF14)/Datos!BF14," - ")</f>
        <v>-0.26936284587387882</v>
      </c>
      <c r="K14" s="1157">
        <f>IF(ISNUMBER((((NºAsuntos!C14+NºAsuntos!E14)/NºAsuntos!G14)-Datos!BG14)/Datos!BG14),(((NºAsuntos!C14+NºAsuntos!E14)/NºAsuntos!G14)-Datos!BG14)/Datos!BG14," - ")</f>
        <v>-2.2465059217318693E-2</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t="str">
        <f>IF(ISNUMBER(
   IF(D_I="SI",(Datos!I16-Datos!S16)/Datos!S16,(Datos!I16+Datos!AC16-(Datos!S16+Datos!AK16))/(Datos!S16+Datos!AK16))
     ),IF(D_I="SI",(Datos!I16-Datos!S16)/Datos!S16,(Datos!I16+Datos!AC16-(Datos!S16+Datos!AK16))/(Datos!S16+Datos!AK16))," - ")</f>
        <v xml:space="preserve"> - </v>
      </c>
      <c r="C16" s="516" t="str">
        <f>IF(ISNUMBER(
   IF(D_I="SI",(Datos!J16-Datos!T16)/Datos!T16,(Datos!J16+Datos!AD16-(Datos!T16+Datos!AL16))/(Datos!T16+Datos!AL16))
     ),IF(D_I="SI",(Datos!J16-Datos!T16)/Datos!T16,(Datos!J16+Datos!AD16-(Datos!T16+Datos!AL16))/(Datos!T16+Datos!AL16))," - ")</f>
        <v xml:space="preserve"> - </v>
      </c>
      <c r="D16" s="516" t="str">
        <f>IF(ISNUMBER(
   IF(D_I="SI",(Datos!K16-Datos!U16)/Datos!U16,(Datos!K16+Datos!AE16-(Datos!U16+Datos!AM16))/(Datos!U16+Datos!AM16))
     ),IF(D_I="SI",(Datos!K16-Datos!U16)/Datos!U16,(Datos!K16+Datos!AE16-(Datos!U16+Datos!AM16))/(Datos!U16+Datos!AM16))," - ")</f>
        <v xml:space="preserve"> - </v>
      </c>
      <c r="E16" s="516" t="str">
        <f>IF(ISNUMBER(
   IF(D_I="SI",(Datos!L16-Datos!V16)/Datos!V16,(Datos!L16+Datos!AF16-(Datos!V16+Datos!AN16))/(Datos!V16+Datos!AN16))
     ),IF(D_I="SI",(Datos!L16-Datos!V16)/Datos!V16,(Datos!L16+Datos!AF16-(Datos!V16+Datos!AN16))/(Datos!V16+Datos!AN16))," - ")</f>
        <v xml:space="preserve"> - </v>
      </c>
      <c r="F16" s="516" t="str">
        <f>IF(ISNUMBER((Datos!M16-Datos!W16)/Datos!W16),(Datos!M16-Datos!W16)/Datos!W16," - ")</f>
        <v xml:space="preserve"> - </v>
      </c>
      <c r="G16" s="517" t="str">
        <f>IF(ISNUMBER((Datos!N16-Datos!X16)/Datos!X16),(Datos!N16-Datos!X16)/Datos!X16," - ")</f>
        <v xml:space="preserve"> - </v>
      </c>
      <c r="H16" s="515" t="str">
        <f>IF(ISNUMBER(((NºAsuntos!G16/NºAsuntos!E16)-Datos!BD16)/Datos!BD16),((NºAsuntos!G16/NºAsuntos!E16)-Datos!BD16)/Datos!BD16," - ")</f>
        <v xml:space="preserve"> - </v>
      </c>
      <c r="I16" s="516" t="str">
        <f>IF(ISNUMBER(((NºAsuntos!I16/NºAsuntos!G16)-Datos!BE16)/Datos!BE16),((NºAsuntos!I16/NºAsuntos!G16)-Datos!BE16)/Datos!BE16," - ")</f>
        <v xml:space="preserve"> - </v>
      </c>
      <c r="J16" s="522" t="str">
        <f>IF(ISNUMBER((('Resol  Asuntos'!D16/NºAsuntos!G16)-Datos!BF16)/Datos!BF16),(('Resol  Asuntos'!D16/NºAsuntos!G16)-Datos!BF16)/Datos!BF16," - ")</f>
        <v xml:space="preserve"> - </v>
      </c>
      <c r="K16" s="523" t="str">
        <f>IF(ISNUMBER((((NºAsuntos!C16+NºAsuntos!E16)/NºAsuntos!G16)-Datos!BG16)/Datos!BG16),(((NºAsuntos!C16+NºAsuntos!E16)/NºAsuntos!G16)-Datos!BG16)/Datos!BG16," - ")</f>
        <v xml:space="preserve"> - </v>
      </c>
    </row>
    <row r="17" spans="1:11">
      <c r="A17" s="451" t="str">
        <f>Datos!A17</f>
        <v xml:space="preserve">Jdos. 1ª Instª. e Instr.                        </v>
      </c>
      <c r="B17" s="515">
        <f>IF(ISNUMBER(
   IF(D_I="SI",(Datos!I17-Datos!S17)/Datos!S17,(Datos!I17+Datos!AC17-(Datos!S17+Datos!AK17))/(Datos!S17+Datos!AK17))
     ),IF(D_I="SI",(Datos!I17-Datos!S17)/Datos!S17,(Datos!I17+Datos!AC17-(Datos!S17+Datos!AK17))/(Datos!S17+Datos!AK17))," - ")</f>
        <v>0.30431107354184278</v>
      </c>
      <c r="C17" s="516">
        <f>IF(ISNUMBER(
   IF(D_I="SI",(Datos!J17-Datos!T17)/Datos!T17,(Datos!J17+Datos!AD17-(Datos!T17+Datos!AL17))/(Datos!T17+Datos!AL17))
     ),IF(D_I="SI",(Datos!J17-Datos!T17)/Datos!T17,(Datos!J17+Datos!AD17-(Datos!T17+Datos!AL17))/(Datos!T17+Datos!AL17))," - ")</f>
        <v>3.3797952386826202E-2</v>
      </c>
      <c r="D17" s="516">
        <f>IF(ISNUMBER(
   IF(D_I="SI",(Datos!K17-Datos!U17)/Datos!U17,(Datos!K17+Datos!AE17-(Datos!U17+Datos!AM17))/(Datos!U17+Datos!AM17))
     ),IF(D_I="SI",(Datos!K17-Datos!U17)/Datos!U17,(Datos!K17+Datos!AE17-(Datos!U17+Datos!AM17))/(Datos!U17+Datos!AM17))," - ")</f>
        <v>5.3727333781061119E-4</v>
      </c>
      <c r="E17" s="516">
        <f>IF(ISNUMBER(
   IF(D_I="SI",(Datos!L17-Datos!V17)/Datos!V17,(Datos!L17+Datos!AF17-(Datos!V17+Datos!AN17))/(Datos!V17+Datos!AN17))
     ),IF(D_I="SI",(Datos!L17-Datos!V17)/Datos!V17,(Datos!L17+Datos!AF17-(Datos!V17+Datos!AN17))/(Datos!V17+Datos!AN17))," - ")</f>
        <v>0.17919637070641609</v>
      </c>
      <c r="F17" s="516">
        <f>IF(ISNUMBER((Datos!M17-Datos!W17)/Datos!W17),(Datos!M17-Datos!W17)/Datos!W17," - ")</f>
        <v>0.31450577663671375</v>
      </c>
      <c r="G17" s="517">
        <f>IF(ISNUMBER((Datos!N17-Datos!X17)/Datos!X17),(Datos!N17-Datos!X17)/Datos!X17," - ")</f>
        <v>-5.9119772279395667E-2</v>
      </c>
      <c r="H17" s="515">
        <f>IF(ISNUMBER(((NºAsuntos!G17/NºAsuntos!E17)-Datos!BD17)/Datos!BD17),((NºAsuntos!G17/NºAsuntos!E17)-Datos!BD17)/Datos!BD17," - ")</f>
        <v>-3.2173287799829309E-2</v>
      </c>
      <c r="I17" s="516">
        <f>IF(ISNUMBER(((NºAsuntos!I17/NºAsuntos!G17)-Datos!BE17)/Datos!BE17),((NºAsuntos!I17/NºAsuntos!G17)-Datos!BE17)/Datos!BE17," - ")</f>
        <v>0.17856316014354515</v>
      </c>
      <c r="J17" s="522">
        <f>IF(ISNUMBER((('Resol  Asuntos'!D17/NºAsuntos!G17)-Datos!BF17)/Datos!BF17),(('Resol  Asuntos'!D17/NºAsuntos!G17)-Datos!BF17)/Datos!BF17," - ")</f>
        <v>0.31379990697547766</v>
      </c>
      <c r="K17" s="523">
        <f>IF(ISNUMBER((((NºAsuntos!C17+NºAsuntos!E17)/NºAsuntos!G17)-Datos!BG17)/Datos!BG17),(((NºAsuntos!C17+NºAsuntos!E17)/NºAsuntos!G17)-Datos!BG17)/Datos!BG17," - ")</f>
        <v>9.4322772362488538E-2</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0.79432624113475181</v>
      </c>
      <c r="C18" s="516">
        <f>IF(ISNUMBER(
   IF(D_I="SI",(Datos!J18-Datos!T18)/Datos!T18,(Datos!J18+Datos!AD18-(Datos!T18+Datos!AL18))/(Datos!T18+Datos!AL18))
     ),IF(D_I="SI",(Datos!J18-Datos!T18)/Datos!T18,(Datos!J18+Datos!AD18-(Datos!T18+Datos!AL18))/(Datos!T18+Datos!AL18))," - ")</f>
        <v>4.1749502982107355E-2</v>
      </c>
      <c r="D18" s="516">
        <f>IF(ISNUMBER(
   IF(D_I="SI",(Datos!K18-Datos!U18)/Datos!U18,(Datos!K18+Datos!AE18-(Datos!U18+Datos!AM18))/(Datos!U18+Datos!AM18))
     ),IF(D_I="SI",(Datos!K18-Datos!U18)/Datos!U18,(Datos!K18+Datos!AE18-(Datos!U18+Datos!AM18))/(Datos!U18+Datos!AM18))," - ")</f>
        <v>-4.8223350253807105E-2</v>
      </c>
      <c r="E18" s="516">
        <f>IF(ISNUMBER(
   IF(D_I="SI",(Datos!L18-Datos!V18)/Datos!V18,(Datos!L18+Datos!AF18-(Datos!V18+Datos!AN18))/(Datos!V18+Datos!AN18))
     ),IF(D_I="SI",(Datos!L18-Datos!V18)/Datos!V18,(Datos!L18+Datos!AF18-(Datos!V18+Datos!AN18))/(Datos!V18+Datos!AN18))," - ")</f>
        <v>1.1857707509881422E-2</v>
      </c>
      <c r="F18" s="516">
        <f>IF(ISNUMBER((Datos!M18-Datos!W18)/Datos!W18),(Datos!M18-Datos!W18)/Datos!W18," - ")</f>
        <v>-8.3333333333333329E-2</v>
      </c>
      <c r="G18" s="517">
        <f>IF(ISNUMBER((Datos!N18-Datos!X18)/Datos!X18),(Datos!N18-Datos!X18)/Datos!X18," - ")</f>
        <v>-0.21768707482993196</v>
      </c>
      <c r="H18" s="515">
        <f>IF(ISNUMBER(((NºAsuntos!G18/NºAsuntos!E18)-Datos!BD18)/Datos!BD18),((NºAsuntos!G18/NºAsuntos!E18)-Datos!BD18)/Datos!BD18," - ")</f>
        <v>-8.6367070949742331E-2</v>
      </c>
      <c r="I18" s="516">
        <f>IF(ISNUMBER(((NºAsuntos!I18/NºAsuntos!G18)-Datos!BE18)/Datos!BE18),((NºAsuntos!I18/NºAsuntos!G18)-Datos!BE18)/Datos!BE18," - ")</f>
        <v>6.3125164690382082E-2</v>
      </c>
      <c r="J18" s="522">
        <f>IF(ISNUMBER((('Resol  Asuntos'!D18/NºAsuntos!G18)-Datos!BF18)/Datos!BF18),(('Resol  Asuntos'!D18/NºAsuntos!G18)-Datos!BF18)/Datos!BF18," - ")</f>
        <v>-3.6888888888888943E-2</v>
      </c>
      <c r="K18" s="523">
        <f>IF(ISNUMBER((((NºAsuntos!C18+NºAsuntos!E18)/NºAsuntos!G18)-Datos!BG18)/Datos!BG18),(((NºAsuntos!C18+NºAsuntos!E18)/NºAsuntos!G18)-Datos!BG18)/Datos!BG18," - ")</f>
        <v>0.26765217391304352</v>
      </c>
    </row>
    <row r="19" spans="1:11">
      <c r="A19" s="451" t="str">
        <f>Datos!A19</f>
        <v xml:space="preserve">Jdos. de Menores                                </v>
      </c>
      <c r="B19" s="515" t="str">
        <f>IF(ISNUMBER((Datos!I19-Datos!S19)/Datos!S19),(Datos!I19-Datos!S19)/Datos!S19," - ")</f>
        <v xml:space="preserve"> - </v>
      </c>
      <c r="C19" s="516" t="str">
        <f>IF(ISNUMBER((Datos!J19-Datos!T19)/Datos!T19),(Datos!J19-Datos!T19)/Datos!T19," - ")</f>
        <v xml:space="preserve"> - </v>
      </c>
      <c r="D19" s="516" t="str">
        <f>IF(ISNUMBER((Datos!K19-Datos!U19)/Datos!U19),(Datos!K19-Datos!U19)/Datos!U19," - ")</f>
        <v xml:space="preserve"> - </v>
      </c>
      <c r="E19" s="516" t="str">
        <f>IF(ISNUMBER((Datos!L19-Datos!V19)/Datos!V19),(Datos!L19-Datos!V19)/Datos!V19," - ")</f>
        <v xml:space="preserve"> - </v>
      </c>
      <c r="F19" s="516" t="str">
        <f>IF(ISNUMBER((Datos!M19-Datos!W19)/Datos!W19),(Datos!M19-Datos!W19)/Datos!W19," - ")</f>
        <v xml:space="preserve"> - </v>
      </c>
      <c r="G19" s="517" t="str">
        <f>IF(ISNUMBER((Datos!N19-Datos!X19)/Datos!X19),(Datos!N19-Datos!X19)/Datos!X19," - ")</f>
        <v xml:space="preserve"> - </v>
      </c>
      <c r="H19" s="515" t="str">
        <f>IF(ISNUMBER(((NºAsuntos!G19/NºAsuntos!E19)-Datos!BD19)/Datos!BD19),((NºAsuntos!G19/NºAsuntos!E19)-Datos!BD19)/Datos!BD19," - ")</f>
        <v xml:space="preserve"> - </v>
      </c>
      <c r="I19" s="516" t="str">
        <f>IF(ISNUMBER(((NºAsuntos!I19/NºAsuntos!G19)-Datos!BE19)/Datos!BE19),((NºAsuntos!I19/NºAsuntos!G19)-Datos!BE19)/Datos!BE19," - ")</f>
        <v xml:space="preserve"> - </v>
      </c>
      <c r="J19" s="522" t="str">
        <f>IF(ISNUMBER((('Resol  Asuntos'!D19/NºAsuntos!G19)-Datos!BF19)/Datos!BF19),(('Resol  Asuntos'!D19/NºAsuntos!G19)-Datos!BF19)/Datos!BF19," - ")</f>
        <v xml:space="preserve"> - </v>
      </c>
      <c r="K19" s="523" t="str">
        <f>IF(ISNUMBER((((NºAsuntos!C19+NºAsuntos!E19)/NºAsuntos!G19)-Datos!BG19)/Datos!BG19),(((NºAsuntos!C19+NºAsuntos!E19)/NºAsuntos!G19)-Datos!BG19)/Datos!BG19," - ")</f>
        <v xml:space="preserve"> - </v>
      </c>
    </row>
    <row r="20" spans="1:11">
      <c r="A20" s="451" t="str">
        <f>Datos!A20</f>
        <v xml:space="preserve">Jdos. Vigilancia Penitenciaria                  </v>
      </c>
      <c r="B20" s="515" t="str">
        <f>IF(ISNUMBER((Datos!I20-Datos!S20)/Datos!S20),(Datos!I20-Datos!S20)/Datos!S20," - ")</f>
        <v xml:space="preserve"> - </v>
      </c>
      <c r="C20" s="516" t="str">
        <f>IF(ISNUMBER((Datos!J20-Datos!T20)/Datos!T20),(Datos!J20-Datos!T20)/Datos!T20," - ")</f>
        <v xml:space="preserve"> - </v>
      </c>
      <c r="D20" s="516" t="str">
        <f>IF(ISNUMBER((Datos!K20-Datos!U20)/Datos!U20),(Datos!K20-Datos!U20)/Datos!U20," - ")</f>
        <v xml:space="preserve"> - </v>
      </c>
      <c r="E20" s="516" t="str">
        <f>IF(ISNUMBER((Datos!L20-Datos!V20)/Datos!V20),(Datos!L20-Datos!V20)/Datos!V20," - ")</f>
        <v xml:space="preserve"> - </v>
      </c>
      <c r="F20" s="516" t="str">
        <f>IF(ISNUMBER((Datos!M20-Datos!W20)/Datos!W20),(Datos!M20-Datos!W20)/Datos!W20," - ")</f>
        <v xml:space="preserve"> - </v>
      </c>
      <c r="G20" s="517" t="str">
        <f>IF(ISNUMBER((Datos!N20-Datos!X20)/Datos!X20),(Datos!N20-Datos!X20)/Datos!X20," - ")</f>
        <v xml:space="preserve"> - </v>
      </c>
      <c r="H20" s="515" t="str">
        <f>IF(ISNUMBER(((NºAsuntos!G20/NºAsuntos!E20)-Datos!BD20)/Datos!BD20),((NºAsuntos!G20/NºAsuntos!E20)-Datos!BD20)/Datos!BD20," - ")</f>
        <v xml:space="preserve"> - </v>
      </c>
      <c r="I20" s="516" t="str">
        <f>IF(ISNUMBER(((NºAsuntos!I20/NºAsuntos!G20)-Datos!BE20)/Datos!BE20),((NºAsuntos!I20/NºAsuntos!G20)-Datos!BE20)/Datos!BE20," - ")</f>
        <v xml:space="preserve"> - </v>
      </c>
      <c r="J20" s="522" t="str">
        <f>IF(ISNUMBER((('Resol  Asuntos'!D20/NºAsuntos!G20)-Datos!BF20)/Datos!BF20),(('Resol  Asuntos'!D20/NºAsuntos!G20)-Datos!BF20)/Datos!BF20," - ")</f>
        <v xml:space="preserve"> - </v>
      </c>
      <c r="K20" s="523" t="str">
        <f>IF(ISNUMBER((((NºAsuntos!C20+NºAsuntos!E20)/NºAsuntos!G20)-Datos!BG20)/Datos!BG20),(((NºAsuntos!C20+NºAsuntos!E20)/NºAsuntos!G20)-Datos!BG20)/Datos!BG20," - ")</f>
        <v xml:space="preserve"> - </v>
      </c>
    </row>
    <row r="21" spans="1:11">
      <c r="A21" s="451" t="str">
        <f>Datos!A21</f>
        <v xml:space="preserve">Jdos. de lo Penal                               </v>
      </c>
      <c r="B21" s="515">
        <f>IF(ISNUMBER((Datos!I21-Datos!S21)/Datos!S21),(Datos!I21-Datos!S21)/Datos!S21," - ")</f>
        <v>0.16666666666666666</v>
      </c>
      <c r="C21" s="516">
        <f>IF(ISNUMBER((Datos!J21-Datos!T21)/Datos!T21),(Datos!J21-Datos!T21)/Datos!T21," - ")</f>
        <v>0.22365869424692955</v>
      </c>
      <c r="D21" s="516">
        <f>IF(ISNUMBER((Datos!K21-Datos!U21)/Datos!U21),(Datos!K21-Datos!U21)/Datos!U21," - ")</f>
        <v>0.4490842490842491</v>
      </c>
      <c r="E21" s="516">
        <f>IF(ISNUMBER((Datos!L21-Datos!V21)/Datos!V21),(Datos!L21-Datos!V21)/Datos!V21," - ")</f>
        <v>-3.5299003322259138E-2</v>
      </c>
      <c r="F21" s="516">
        <f>IF(ISNUMBER((Datos!M21-Datos!W21)/Datos!W21),(Datos!M21-Datos!W21)/Datos!W21," - ")</f>
        <v>0.43607843137254904</v>
      </c>
      <c r="G21" s="517">
        <f>IF(ISNUMBER((Datos!N21-Datos!X21)/Datos!X21),(Datos!N21-Datos!X21)/Datos!X21," - ")</f>
        <v>4.4215180545320559E-2</v>
      </c>
      <c r="H21" s="515">
        <f>IF(ISNUMBER(((NºAsuntos!G21/NºAsuntos!E21)-Datos!BD21)/Datos!BD21),((NºAsuntos!G21/NºAsuntos!E21)-Datos!BD21)/Datos!BD21," - ")</f>
        <v>0.18422257439690079</v>
      </c>
      <c r="I21" s="516">
        <f>IF(ISNUMBER(((NºAsuntos!I21/NºAsuntos!G21)-Datos!BE21)/Datos!BE21),((NºAsuntos!I21/NºAsuntos!G21)-Datos!BE21)/Datos!BE21," - ")</f>
        <v>-0.33426852352623032</v>
      </c>
      <c r="J21" s="522">
        <f>IF(ISNUMBER((('Resol  Asuntos'!D21/NºAsuntos!G21)-Datos!BF21)/Datos!BF21),(('Resol  Asuntos'!D21/NºAsuntos!G21)-Datos!BF21)/Datos!BF21," - ")</f>
        <v>-8.9751977636352512E-3</v>
      </c>
      <c r="K21" s="523">
        <f>IF(ISNUMBER((((NºAsuntos!C21+NºAsuntos!E21)/NºAsuntos!G21)-Datos!BG21)/Datos!BG21),(((NºAsuntos!C21+NºAsuntos!E21)/NºAsuntos!G21)-Datos!BG21)/Datos!BG21," - ")</f>
        <v>-0.17804447650267596</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0.25727411944869832</v>
      </c>
      <c r="C23" s="1155">
        <f>IF(ISNUMBER(
   IF(Criterios!B14="SI",(Datos!J23-Datos!T23)/Datos!T23,(Datos!J23+Datos!AD23-(Datos!T23+Datos!AL23))/(Datos!T23+Datos!AL23))
     ),IF(Criterios!B14="SI",(Datos!J23-Datos!T23)/Datos!T23,(Datos!J23+Datos!AD23-(Datos!T23+Datos!AL23))/(Datos!T23+Datos!AL23))," - ")</f>
        <v>6.3109185783203708E-2</v>
      </c>
      <c r="D23" s="1155">
        <f>IF(ISNUMBER(
   IF(Criterios!B14="SI",(Datos!K23-Datos!U23)/Datos!U23,(Datos!K23+Datos!AE23-(Datos!U23+Datos!AM23))/(Datos!U23+Datos!AM23))
     ),IF(Criterios!B14="SI",(Datos!K23-Datos!U23)/Datos!U23,(Datos!K23+Datos!AE23-(Datos!U23+Datos!AM23))/(Datos!U23+Datos!AM23))," - ")</f>
        <v>6.4971751412429377E-2</v>
      </c>
      <c r="E23" s="1155">
        <f>IF(ISNUMBER(
   IF(Criterios!B14="SI",(Datos!L23-Datos!V23)/Datos!V23,(Datos!L23+Datos!AF23-(Datos!V23+Datos!AN23))/(Datos!V23+Datos!AN23))
     ),IF(Criterios!B14="SI",(Datos!L23-Datos!V23)/Datos!V23,(Datos!L23+Datos!AF23-(Datos!V23+Datos!AN23))/(Datos!V23+Datos!AN23))," - ")</f>
        <v>8.1955803027666613E-2</v>
      </c>
      <c r="F23" s="1156">
        <f>IF(ISNUMBER((Datos!M23-Datos!W23)/Datos!W23),(Datos!M23-Datos!W23)/Datos!W23," - ")</f>
        <v>0.38722168441432719</v>
      </c>
      <c r="G23" s="1157">
        <f>IF(ISNUMBER((Datos!N23-Datos!X23)/Datos!X23),(Datos!N23-Datos!X23)/Datos!X23," - ")</f>
        <v>-3.9861637292044144E-2</v>
      </c>
      <c r="H23" s="1157">
        <f>IF(ISNUMBER(((NºAsuntos!G23/NºAsuntos!E23)-Datos!BD23)/Datos!BD23),((NºAsuntos!G23/NºAsuntos!E23)-Datos!BD23)/Datos!BD23," - ")</f>
        <v>1.7519984345290137E-3</v>
      </c>
      <c r="I23" s="1157">
        <f>IF(ISNUMBER(((NºAsuntos!I23/NºAsuntos!G23)-Datos!BE23)/Datos!BE23),((NºAsuntos!I23/NºAsuntos!G23)-Datos!BE23)/Datos!BE23," - ")</f>
        <v>1.5947889315103461E-2</v>
      </c>
      <c r="J23" s="1157">
        <f>IF(ISNUMBER((('Resol  Asuntos'!D23/NºAsuntos!G23)-Datos!BF23)/Datos!BF23),(('Resol  Asuntos'!D23/NºAsuntos!G23)-Datos!BF23)/Datos!BF23," - ")</f>
        <v>0.30259012276570779</v>
      </c>
      <c r="K23" s="1157">
        <f>IF(ISNUMBER((((NºAsuntos!C23+NºAsuntos!E23)/NºAsuntos!G23)-Datos!BG23)/Datos!BG23),(((NºAsuntos!C23+NºAsuntos!E23)/NºAsuntos!G23)-Datos!BG23)/Datos!BG23," - ")</f>
        <v>5.4835914053168622E-2</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t="str">
        <f>IF(ISNUMBER((Datos!I25-Datos!S25)/Datos!S25),(Datos!I25-Datos!S25)/Datos!S25," - ")</f>
        <v xml:space="preserve"> - </v>
      </c>
      <c r="C25" s="516" t="str">
        <f>IF(ISNUMBER((Datos!J25-Datos!T25)/Datos!T25),(Datos!J25-Datos!T25)/Datos!T25," - ")</f>
        <v xml:space="preserve"> - </v>
      </c>
      <c r="D25" s="516" t="str">
        <f>IF(ISNUMBER((Datos!K25-Datos!U25)/Datos!U25),(Datos!K25-Datos!U25)/Datos!U25," - ")</f>
        <v xml:space="preserve"> - </v>
      </c>
      <c r="E25" s="516" t="str">
        <f>IF(ISNUMBER((Datos!L25-Datos!V25)/Datos!V25),(Datos!L25-Datos!V25)/Datos!V25," - ")</f>
        <v xml:space="preserve"> - </v>
      </c>
      <c r="F25" s="516" t="str">
        <f>IF(ISNUMBER((Datos!M25-Datos!W25)/Datos!W25),(Datos!M25-Datos!W25)/Datos!W25," - ")</f>
        <v xml:space="preserve"> - </v>
      </c>
      <c r="G25" s="517" t="str">
        <f>IF(ISNUMBER((Datos!N25-Datos!X25)/Datos!X25),(Datos!N25-Datos!X25)/Datos!X25," - ")</f>
        <v xml:space="preserve"> - </v>
      </c>
      <c r="H25" s="515" t="str">
        <f>IF(ISNUMBER(((NºAsuntos!G25/NºAsuntos!E25)-Datos!BD25)/Datos!BD25),((NºAsuntos!G25/NºAsuntos!E25)-Datos!BD25)/Datos!BD25," - ")</f>
        <v xml:space="preserve"> - </v>
      </c>
      <c r="I25" s="516" t="str">
        <f>IF(ISNUMBER(((NºAsuntos!I25/NºAsuntos!G25)-Datos!BE25)/Datos!BE25),((NºAsuntos!I25/NºAsuntos!G25)-Datos!BE25)/Datos!BE25," - ")</f>
        <v xml:space="preserve"> - </v>
      </c>
      <c r="J25" s="522" t="str">
        <f>IF(ISNUMBER((('Resol  Asuntos'!D25/NºAsuntos!G25)-Datos!BF25)/Datos!BF25),(('Resol  Asuntos'!D25/NºAsuntos!G25)-Datos!BF25)/Datos!BF25," - ")</f>
        <v xml:space="preserve"> - </v>
      </c>
      <c r="K25" s="523" t="str">
        <f>IF(ISNUMBER((((NºAsuntos!C25+NºAsuntos!E25)/NºAsuntos!G25)-Datos!BG25)/Datos!BG25),(((NºAsuntos!C25+NºAsuntos!E25)/NºAsuntos!G25)-Datos!BG25)/Datos!BG25," - ")</f>
        <v xml:space="preserve"> - </v>
      </c>
    </row>
    <row r="26" spans="1:11" ht="14.25" thickTop="1" thickBot="1">
      <c r="A26" s="1148" t="str">
        <f>Datos!A26</f>
        <v>TOTAL</v>
      </c>
      <c r="B26" s="1154" t="str">
        <f>IF(ISNUMBER((Datos!I26-Datos!S26)/Datos!S26),(Datos!I26-Datos!S26)/Datos!S26," - ")</f>
        <v xml:space="preserve"> - </v>
      </c>
      <c r="C26" s="1155" t="str">
        <f>IF(ISNUMBER((Datos!J26-Datos!T26)/Datos!T26),(Datos!J26-Datos!T26)/Datos!T26," - ")</f>
        <v xml:space="preserve"> - </v>
      </c>
      <c r="D26" s="1155" t="str">
        <f>IF(ISNUMBER((Datos!K26-Datos!U26)/Datos!U26),(Datos!K26-Datos!U26)/Datos!U26," - ")</f>
        <v xml:space="preserve"> - </v>
      </c>
      <c r="E26" s="1155" t="str">
        <f>IF(ISNUMBER((Datos!L26-Datos!V26)/Datos!V26),(Datos!L26-Datos!V26)/Datos!V26," - ")</f>
        <v xml:space="preserve"> - </v>
      </c>
      <c r="F26" s="1156" t="str">
        <f>IF(ISNUMBER((Datos!M26-Datos!W26)/Datos!W26),(Datos!M26-Datos!W26)/Datos!W26," - ")</f>
        <v xml:space="preserve"> - </v>
      </c>
      <c r="G26" s="1157" t="str">
        <f>IF(ISNUMBER((Datos!N26-Datos!X26)/Datos!X26),(Datos!N26-Datos!X26)/Datos!X26," - ")</f>
        <v xml:space="preserve"> - </v>
      </c>
      <c r="H26" s="1157" t="str">
        <f>IF(ISNUMBER(((NºAsuntos!G26/NºAsuntos!E26)-Datos!BD26)/Datos!BD26),((NºAsuntos!G26/NºAsuntos!E26)-Datos!BD26)/Datos!BD26," - ")</f>
        <v xml:space="preserve"> - </v>
      </c>
      <c r="I26" s="1157" t="str">
        <f>IF(ISNUMBER(((NºAsuntos!I26/NºAsuntos!G26)-Datos!BE26)/Datos!BE26),((NºAsuntos!I26/NºAsuntos!G26)-Datos!BE26)/Datos!BE26," - ")</f>
        <v xml:space="preserve"> - </v>
      </c>
      <c r="J26" s="1157" t="str">
        <f>IF(ISNUMBER((('Resol  Asuntos'!D26/NºAsuntos!G26)-Datos!BF26)/Datos!BF26),(('Resol  Asuntos'!D26/NºAsuntos!G26)-Datos!BF26)/Datos!BF26," - ")</f>
        <v xml:space="preserve"> - </v>
      </c>
      <c r="K26" s="1157" t="str">
        <f>IF(ISNUMBER((((NºAsuntos!C26+NºAsuntos!E26)/NºAsuntos!G26)-Datos!BG26)/Datos!BG26),(((NºAsuntos!C26+NºAsuntos!E26)/NºAsuntos!G26)-Datos!BG26)/Datos!BG26," - ")</f>
        <v xml:space="preserve"> - </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t="str">
        <f>IF(ISNUMBER((Datos!I28-Datos!S28)/Datos!S28),(Datos!I28-Datos!S28)/Datos!S28," - ")</f>
        <v xml:space="preserve"> - </v>
      </c>
      <c r="C28" s="516" t="str">
        <f>IF(ISNUMBER((Datos!J28-Datos!T28)/Datos!T28),(Datos!J28-Datos!T28)/Datos!T28," - ")</f>
        <v xml:space="preserve"> - </v>
      </c>
      <c r="D28" s="516" t="str">
        <f>IF(ISNUMBER((Datos!K28-Datos!U28)/Datos!U28),(Datos!K28-Datos!U28)/Datos!U28," - ")</f>
        <v xml:space="preserve"> - </v>
      </c>
      <c r="E28" s="516" t="str">
        <f>IF(ISNUMBER((Datos!L28-Datos!V28)/Datos!V28),(Datos!L28-Datos!V28)/Datos!V28," - ")</f>
        <v xml:space="preserve"> - </v>
      </c>
      <c r="F28" s="516" t="str">
        <f>IF(ISNUMBER((Datos!M28-Datos!W28)/Datos!W28),(Datos!M28-Datos!W28)/Datos!W28," - ")</f>
        <v xml:space="preserve"> - </v>
      </c>
      <c r="G28" s="517" t="str">
        <f>IF(ISNUMBER((Datos!N28-Datos!X28)/Datos!X28),(Datos!N28-Datos!X28)/Datos!X28," - ")</f>
        <v xml:space="preserve"> - </v>
      </c>
      <c r="H28" s="515" t="str">
        <f>IF(ISNUMBER(((NºAsuntos!G28/NºAsuntos!E28)-Datos!BD28)/Datos!BD28),((NºAsuntos!G28/NºAsuntos!E28)-Datos!BD28)/Datos!BD28," - ")</f>
        <v xml:space="preserve"> - </v>
      </c>
      <c r="I28" s="516" t="str">
        <f>IF(ISNUMBER(((NºAsuntos!I28/NºAsuntos!G28)-Datos!BE28)/Datos!BE28),((NºAsuntos!I28/NºAsuntos!G28)-Datos!BE28)/Datos!BE28," - ")</f>
        <v xml:space="preserve"> - </v>
      </c>
      <c r="J28" s="522" t="str">
        <f>IF(ISNUMBER((('Resol  Asuntos'!D28/NºAsuntos!G28)-Datos!BF28)/Datos!BF28),(('Resol  Asuntos'!D28/NºAsuntos!G28)-Datos!BF28)/Datos!BF28," - ")</f>
        <v xml:space="preserve"> - </v>
      </c>
      <c r="K28" s="523" t="str">
        <f>IF(ISNUMBER((((NºAsuntos!C28+NºAsuntos!E28)/NºAsuntos!G28)-Datos!BG28)/Datos!BG28),(((NºAsuntos!C28+NºAsuntos!E28)/NºAsuntos!G28)-Datos!BG28)/Datos!BG28," - ")</f>
        <v xml:space="preserve"> - </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t="str">
        <f>IF(ISNUMBER((Datos!I30-Datos!S30)/Datos!S30),(Datos!I30-Datos!S30)/Datos!S30," - ")</f>
        <v xml:space="preserve"> - </v>
      </c>
      <c r="C30" s="1155" t="str">
        <f>IF(ISNUMBER((Datos!J30-Datos!T30)/Datos!T30),(Datos!J30-Datos!T30)/Datos!T30," - ")</f>
        <v xml:space="preserve"> - </v>
      </c>
      <c r="D30" s="1155" t="str">
        <f>IF(ISNUMBER((Datos!K30-Datos!U30)/Datos!U30),(Datos!K30-Datos!U30)/Datos!U30," - ")</f>
        <v xml:space="preserve"> - </v>
      </c>
      <c r="E30" s="1155" t="str">
        <f>IF(ISNUMBER((Datos!L30-Datos!V30)/Datos!V30),(Datos!L30-Datos!V30)/Datos!V30," - ")</f>
        <v xml:space="preserve"> - </v>
      </c>
      <c r="F30" s="1156" t="str">
        <f>IF(ISNUMBER((Datos!M30-Datos!W30)/Datos!W30),(Datos!M30-Datos!W30)/Datos!W30," - ")</f>
        <v xml:space="preserve"> - </v>
      </c>
      <c r="G30" s="1157" t="str">
        <f>IF(ISNUMBER((Datos!N30-Datos!X30)/Datos!X30),(Datos!N30-Datos!X30)/Datos!X30," - ")</f>
        <v xml:space="preserve"> - </v>
      </c>
      <c r="H30" s="1157" t="str">
        <f>IF(ISNUMBER(((NºAsuntos!G30/NºAsuntos!E30)-Datos!BD30)/Datos!BD30),((NºAsuntos!G30/NºAsuntos!E30)-Datos!BD30)/Datos!BD30," - ")</f>
        <v xml:space="preserve"> - </v>
      </c>
      <c r="I30" s="1157" t="str">
        <f>IF(ISNUMBER(((NºAsuntos!I30/NºAsuntos!G30)-Datos!BE30)/Datos!BE30),((NºAsuntos!I30/NºAsuntos!G30)-Datos!BE30)/Datos!BE30," - ")</f>
        <v xml:space="preserve"> - </v>
      </c>
      <c r="J30" s="1157" t="str">
        <f>IF(ISNUMBER((('Resol  Asuntos'!D30/NºAsuntos!G30)-Datos!BF30)/Datos!BF30),(('Resol  Asuntos'!D30/NºAsuntos!G30)-Datos!BF30)/Datos!BF30," - ")</f>
        <v xml:space="preserve"> - </v>
      </c>
      <c r="K30" s="1157" t="str">
        <f>IF(ISNUMBER((((NºAsuntos!C30+NºAsuntos!E30)/NºAsuntos!G30)-Datos!BG30)/Datos!BG30),(((NºAsuntos!C30+NºAsuntos!E30)/NºAsuntos!G30)-Datos!BG30)/Datos!BG30," - ")</f>
        <v xml:space="preserve"> - </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0.33735325506937031</v>
      </c>
      <c r="C31" s="1095">
        <f>IF(ISNUMBER(
   IF(J_V="SI",(Datos!J31-Datos!T31)/Datos!T31,(Datos!J31+Datos!Z31-(Datos!T31+Datos!AH31))/(Datos!T31+Datos!AH31))
     ),IF(J_V="SI",(Datos!J31-Datos!T31)/Datos!T31,(Datos!J31+Datos!Z31-(Datos!T31+Datos!AH31))/(Datos!T31+Datos!AH31))," - ")</f>
        <v>0.11760719566288812</v>
      </c>
      <c r="D31" s="1095">
        <f>IF(ISNUMBER(
   IF(J_V="SI",(Datos!K31-Datos!U31)/Datos!U31,(Datos!K31+Datos!AA31-(Datos!U31+Datos!AI31))/(Datos!U31+Datos!AI31))
     ),IF(J_V="SI",(Datos!K31-Datos!U31)/Datos!U31,(Datos!K31+Datos!AA31-(Datos!U31+Datos!AI31))/(Datos!U31+Datos!AI31))," - ")</f>
        <v>0.15030516949775719</v>
      </c>
      <c r="E31" s="1095">
        <f>IF(ISNUMBER(
   IF(J_V="SI",(Datos!L31-Datos!V31)/Datos!V31,(Datos!L31+Datos!AB31-(Datos!V31+Datos!AJ31))/(Datos!V31+Datos!AJ31))
     ),IF(J_V="SI",(Datos!L31-Datos!V31)/Datos!V31,(Datos!L31+Datos!AB31-(Datos!V31+Datos!AJ31))/(Datos!V31+Datos!AJ31))," - ")</f>
        <v>0.15960418162955869</v>
      </c>
      <c r="F31" s="1096">
        <f>IF(ISNUMBER((Datos!M31-Datos!W31)/Datos!W31),(Datos!M31-Datos!W31)/Datos!W31," - ")</f>
        <v>0.35058011915961118</v>
      </c>
      <c r="G31" s="1097">
        <f>IF(ISNUMBER((Datos!N31-Datos!X31)/Datos!X31),(Datos!N31-Datos!X31)/Datos!X31," - ")</f>
        <v>3.0026455026455026E-2</v>
      </c>
      <c r="H31" s="1098">
        <f>IF(ISNUMBER((Tasas!B31-Datos!BD31)/Datos!BD31),(Tasas!B31-Datos!BD31)/Datos!BD31," - ")</f>
        <v>2.9257125367267264E-2</v>
      </c>
      <c r="I31" s="1099">
        <f>IF(ISNUMBER((Tasas!C31-Datos!BE31)/Datos!BE31),(Tasas!C31-Datos!BE31)/Datos!BE31," - ")</f>
        <v>8.0839523096828871E-3</v>
      </c>
      <c r="J31" s="1100">
        <f>IF(ISNUMBER((Tasas!D31-Datos!BF31)/Datos!BF31),(Tasas!D31-Datos!BF31)/Datos!BF31," - ")</f>
        <v>5.4710931316981883E-2</v>
      </c>
      <c r="K31" s="1100">
        <f>IF(ISNUMBER((Tasas!E31-Datos!BG31)/Datos!BG31),(Tasas!E31-Datos!BG31)/Datos!BG31," - ")</f>
        <v>4.1490063301775286E-2</v>
      </c>
    </row>
    <row r="32" spans="1:11">
      <c r="A32" s="460"/>
      <c r="B32" s="460"/>
      <c r="C32" s="460"/>
      <c r="D32" s="460"/>
      <c r="E32" s="460"/>
    </row>
    <row r="33" spans="1:12" ht="70.5" customHeight="1">
      <c r="A33" s="1585" t="s">
        <v>205</v>
      </c>
      <c r="B33" s="1585"/>
      <c r="C33" s="1585"/>
      <c r="D33" s="1585"/>
      <c r="E33" s="1585"/>
      <c r="F33" s="1585"/>
      <c r="G33" s="1585"/>
      <c r="H33" s="1585"/>
      <c r="I33" s="1585"/>
      <c r="J33" s="1585"/>
      <c r="K33" s="1585"/>
    </row>
    <row r="34" spans="1:12">
      <c r="A34" s="1584"/>
      <c r="B34" s="1584"/>
      <c r="C34" s="462"/>
      <c r="D34" s="462"/>
      <c r="E34" s="462"/>
    </row>
    <row r="35" spans="1:12">
      <c r="A35" s="440" t="str">
        <f>Criterios!A4</f>
        <v>Fecha Informe: 05 abr. 2022</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YQS+gO1bb+rETVoHuV8l8vTXG/ipBT82K2/z41nH9Twq3g2Vk2xMj/YluJXaM/zUDl2DjlbC+PhjR1DMNEXwuw==" saltValue="/flM2slP3Fp3zmtl4Eryc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CATALUÑA</v>
      </c>
    </row>
    <row r="3" spans="1:7" ht="19.5">
      <c r="A3" s="492" t="s">
        <v>17</v>
      </c>
      <c r="B3" s="440" t="str">
        <f>Criterios!A10 &amp;"  "&amp;Criterios!B10</f>
        <v>Provincias  BARCELONA</v>
      </c>
    </row>
    <row r="4" spans="1:7" ht="11.25" customHeight="1" thickBot="1">
      <c r="B4" s="440" t="str">
        <f>Criterios!A11 &amp;"  "&amp;Criterios!B11</f>
        <v>Resumenes por Partidos Judiciales  VILANOVA I LA GELTRU</v>
      </c>
    </row>
    <row r="5" spans="1:7" ht="12.75" customHeight="1">
      <c r="A5" s="1565" t="str">
        <f>"Año:  " &amp;Criterios!B5 &amp; "    Trimestre   " &amp;Criterios!D5 &amp; " al " &amp;Criterios!D6</f>
        <v>Año:  2021    Trimestre   1 al 4</v>
      </c>
      <c r="B5" s="1559" t="s">
        <v>129</v>
      </c>
      <c r="C5" s="1559" t="s">
        <v>130</v>
      </c>
      <c r="D5" s="1559" t="s">
        <v>131</v>
      </c>
      <c r="E5" s="1559" t="s">
        <v>132</v>
      </c>
      <c r="G5" s="524"/>
    </row>
    <row r="6" spans="1:7" ht="12.75" customHeight="1">
      <c r="A6" s="1566"/>
      <c r="B6" s="1597"/>
      <c r="C6" s="1597"/>
      <c r="D6" s="1597"/>
      <c r="E6" s="1597"/>
      <c r="G6" s="524"/>
    </row>
    <row r="7" spans="1:7" ht="30.75" customHeight="1" thickBot="1">
      <c r="A7" s="493" t="str">
        <f>Datos!A7</f>
        <v>COMPETENCIAS</v>
      </c>
      <c r="B7" s="1598"/>
      <c r="C7" s="1598"/>
      <c r="D7" s="1598"/>
      <c r="E7" s="1598"/>
      <c r="G7" s="524"/>
    </row>
    <row r="8" spans="1:7">
      <c r="A8" s="445" t="str">
        <f>Datos!A8</f>
        <v>Jurisdicción Civil ( 1 ):</v>
      </c>
      <c r="B8" s="494"/>
      <c r="C8" s="495"/>
      <c r="D8" s="496"/>
      <c r="E8" s="497"/>
      <c r="G8" s="524"/>
    </row>
    <row r="9" spans="1:7" ht="14.25" customHeight="1">
      <c r="A9" s="451" t="str">
        <f>Datos!A9</f>
        <v xml:space="preserve">Jdos. 1ª Instancia   </v>
      </c>
      <c r="B9" s="498" t="str">
        <f>IF(ISNUMBER(NºAsuntos!G9/NºAsuntos!E9),NºAsuntos!G9/NºAsuntos!E9," - ")</f>
        <v xml:space="preserve"> - </v>
      </c>
      <c r="C9" s="499" t="str">
        <f>IF(ISNUMBER(NºAsuntos!I9/NºAsuntos!G9),NºAsuntos!I9/NºAsuntos!G9," - ")</f>
        <v xml:space="preserve"> - </v>
      </c>
      <c r="D9" s="500" t="str">
        <f>IF(ISNUMBER('Resol  Asuntos'!D9/NºAsuntos!G9),'Resol  Asuntos'!D9/NºAsuntos!G9," - ")</f>
        <v xml:space="preserve"> - </v>
      </c>
      <c r="E9" s="501" t="str">
        <f>IF(ISNUMBER((NºAsuntos!C9+NºAsuntos!E9)/NºAsuntos!G9),(NºAsuntos!C9+NºAsuntos!E9)/NºAsuntos!G9," - ")</f>
        <v xml:space="preserve"> - </v>
      </c>
      <c r="G9" s="524"/>
    </row>
    <row r="10" spans="1:7">
      <c r="A10" s="451" t="str">
        <f>Datos!A10</f>
        <v>Jdos. Violencia contra la mujer</v>
      </c>
      <c r="B10" s="498">
        <f>IF(ISNUMBER(NºAsuntos!G10/NºAsuntos!E10),NºAsuntos!G10/NºAsuntos!E10," - ")</f>
        <v>0.41666666666666669</v>
      </c>
      <c r="C10" s="499">
        <f>IF(ISNUMBER(NºAsuntos!I10/NºAsuntos!G10),NºAsuntos!I10/NºAsuntos!G10," - ")</f>
        <v>4.4400000000000004</v>
      </c>
      <c r="D10" s="500">
        <f>IF(ISNUMBER('Resol  Asuntos'!D10/NºAsuntos!G10),'Resol  Asuntos'!D10/NºAsuntos!G10," - ")</f>
        <v>0.4</v>
      </c>
      <c r="E10" s="501">
        <f>IF(ISNUMBER((NºAsuntos!C10+NºAsuntos!E10)/NºAsuntos!G10),(NºAsuntos!C10+NºAsuntos!E10)/NºAsuntos!G10," - ")</f>
        <v>5.44</v>
      </c>
      <c r="G10" s="524"/>
    </row>
    <row r="11" spans="1:7">
      <c r="A11" s="451" t="str">
        <f>Datos!A11</f>
        <v xml:space="preserve">Jdos. Familia                                   </v>
      </c>
      <c r="B11" s="498" t="str">
        <f>IF(ISNUMBER(NºAsuntos!G11/NºAsuntos!E11),NºAsuntos!G11/NºAsuntos!E11," - ")</f>
        <v xml:space="preserve"> - </v>
      </c>
      <c r="C11" s="499" t="str">
        <f>IF(ISNUMBER(NºAsuntos!I11/NºAsuntos!G11),NºAsuntos!I11/NºAsuntos!G11," - ")</f>
        <v xml:space="preserve"> - </v>
      </c>
      <c r="D11" s="500" t="str">
        <f>IF(ISNUMBER('Resol  Asuntos'!D11/NºAsuntos!G11),'Resol  Asuntos'!D11/NºAsuntos!G11," - ")</f>
        <v xml:space="preserve"> - </v>
      </c>
      <c r="E11" s="501" t="str">
        <f>IF(ISNUMBER((NºAsuntos!C11+NºAsuntos!E11)/NºAsuntos!G11),(NºAsuntos!C11+NºAsuntos!E11)/NºAsuntos!G11," - ")</f>
        <v xml:space="preserve"> - </v>
      </c>
      <c r="G11" s="524"/>
    </row>
    <row r="12" spans="1:7">
      <c r="A12" s="451" t="str">
        <f>Datos!A12</f>
        <v xml:space="preserve">Jdos. 1ª Instª. e Instr.                        </v>
      </c>
      <c r="B12" s="498">
        <f>IF(ISNUMBER(NºAsuntos!G12/NºAsuntos!E12),NºAsuntos!G12/NºAsuntos!E12," - ")</f>
        <v>0.79857201702595082</v>
      </c>
      <c r="C12" s="499">
        <f>IF(ISNUMBER(NºAsuntos!I12/NºAsuntos!G12),NºAsuntos!I12/NºAsuntos!G12," - ")</f>
        <v>1.4102475928473177</v>
      </c>
      <c r="D12" s="500">
        <f>IF(ISNUMBER('Resol  Asuntos'!D12/NºAsuntos!G12),'Resol  Asuntos'!D12/NºAsuntos!G12," - ")</f>
        <v>0.24604539202200826</v>
      </c>
      <c r="E12" s="501">
        <f>IF(ISNUMBER((NºAsuntos!C12+NºAsuntos!E12)/NºAsuntos!G12),(NºAsuntos!C12+NºAsuntos!E12)/NºAsuntos!G12," - ")</f>
        <v>2.4056052269601103</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0.79545145036088793</v>
      </c>
      <c r="C14" s="1159">
        <f>IF(ISNUMBER(NºAsuntos!I14/NºAsuntos!G14),NºAsuntos!I14/NºAsuntos!G14," - ")</f>
        <v>1.4232152028762197</v>
      </c>
      <c r="D14" s="1160">
        <f>IF(ISNUMBER('Resol  Asuntos'!D14/NºAsuntos!G14),'Resol  Asuntos'!D14/NºAsuntos!G14," - ")</f>
        <v>0.24670433145009416</v>
      </c>
      <c r="E14" s="1161">
        <f>IF(ISNUMBER((NºAsuntos!C14+NºAsuntos!E14)/NºAsuntos!G14),(NºAsuntos!C14+NºAsuntos!E14)/NºAsuntos!G14," - ")</f>
        <v>2.4185927067282997</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t="str">
        <f>IF(ISNUMBER(NºAsuntos!G16/NºAsuntos!E16),NºAsuntos!G16/NºAsuntos!E16," - ")</f>
        <v xml:space="preserve"> - </v>
      </c>
      <c r="C16" s="499" t="str">
        <f>IF(ISNUMBER(NºAsuntos!I16/NºAsuntos!G16),NºAsuntos!I16/NºAsuntos!G16," - ")</f>
        <v xml:space="preserve"> - </v>
      </c>
      <c r="D16" s="500" t="str">
        <f>IF(ISNUMBER('Resol  Asuntos'!D16/NºAsuntos!G16),'Resol  Asuntos'!D16/NºAsuntos!G16," - ")</f>
        <v xml:space="preserve"> - </v>
      </c>
      <c r="E16" s="501" t="str">
        <f>IF(ISNUMBER((NºAsuntos!C16+NºAsuntos!E16)/NºAsuntos!G16),(NºAsuntos!C16+NºAsuntos!E16)/NºAsuntos!G16," - ")</f>
        <v xml:space="preserve"> - </v>
      </c>
      <c r="G16" s="524"/>
    </row>
    <row r="17" spans="1:7">
      <c r="A17" s="451" t="str">
        <f>Datos!A17</f>
        <v xml:space="preserve">Jdos. 1ª Instª. e Instr.                        </v>
      </c>
      <c r="B17" s="498">
        <f>IF(ISNUMBER(NºAsuntos!G17/NºAsuntos!E17),NºAsuntos!G17/NºAsuntos!E17," - ")</f>
        <v>0.88879608638587282</v>
      </c>
      <c r="C17" s="499">
        <f>IF(ISNUMBER(NºAsuntos!I17/NºAsuntos!G17),NºAsuntos!I17/NºAsuntos!G17," - ")</f>
        <v>0.48852194925493353</v>
      </c>
      <c r="D17" s="500">
        <f>IF(ISNUMBER('Resol  Asuntos'!D17/NºAsuntos!G17),'Resol  Asuntos'!D17/NºAsuntos!G17," - ")</f>
        <v>0.13746811652570814</v>
      </c>
      <c r="E17" s="501">
        <f>IF(ISNUMBER((NºAsuntos!C17+NºAsuntos!E17)/NºAsuntos!G17),(NºAsuntos!C17+NºAsuntos!E17)/NºAsuntos!G17," - ")</f>
        <v>1.5394012619143509</v>
      </c>
      <c r="G17" s="524"/>
    </row>
    <row r="18" spans="1:7">
      <c r="A18" s="451" t="str">
        <f>Datos!A18</f>
        <v>Jdos. Violencia contra la mujer</v>
      </c>
      <c r="B18" s="498">
        <f>IF(ISNUMBER(NºAsuntos!G18/NºAsuntos!E18),NºAsuntos!G18/NºAsuntos!E18," - ")</f>
        <v>0.71564885496183206</v>
      </c>
      <c r="C18" s="499">
        <f>IF(ISNUMBER(NºAsuntos!I18/NºAsuntos!G18),NºAsuntos!I18/NºAsuntos!G18," - ")</f>
        <v>0.68266666666666664</v>
      </c>
      <c r="D18" s="500">
        <f>IF(ISNUMBER('Resol  Asuntos'!D18/NºAsuntos!G18),'Resol  Asuntos'!D18/NºAsuntos!G18," - ")</f>
        <v>2.9333333333333333E-2</v>
      </c>
      <c r="E18" s="501">
        <f>IF(ISNUMBER((NºAsuntos!C18+NºAsuntos!E18)/NºAsuntos!G18),(NºAsuntos!C18+NºAsuntos!E18)/NºAsuntos!G18," - ")</f>
        <v>2.0720000000000001</v>
      </c>
      <c r="G18" s="524"/>
    </row>
    <row r="19" spans="1:7">
      <c r="A19" s="451" t="str">
        <f>Datos!A19</f>
        <v xml:space="preserve">Jdos. de Menores                                </v>
      </c>
      <c r="B19" s="498" t="str">
        <f>IF(ISNUMBER(NºAsuntos!G19/NºAsuntos!E19),NºAsuntos!G19/NºAsuntos!E19," - ")</f>
        <v xml:space="preserve"> - </v>
      </c>
      <c r="C19" s="499" t="str">
        <f>IF(ISNUMBER(NºAsuntos!I19/NºAsuntos!G19),NºAsuntos!I19/NºAsuntos!G19," - ")</f>
        <v xml:space="preserve"> - </v>
      </c>
      <c r="D19" s="500" t="str">
        <f>IF(ISNUMBER('Resol  Asuntos'!D19/NºAsuntos!G19),'Resol  Asuntos'!D19/NºAsuntos!G19," - ")</f>
        <v xml:space="preserve"> - </v>
      </c>
      <c r="E19" s="501" t="str">
        <f>IF(ISNUMBER((NºAsuntos!C19+NºAsuntos!E19)/NºAsuntos!G19),(NºAsuntos!C19+NºAsuntos!E19)/NºAsuntos!G19," - ")</f>
        <v xml:space="preserve"> - </v>
      </c>
      <c r="G19" s="524"/>
    </row>
    <row r="20" spans="1:7">
      <c r="A20" s="451" t="str">
        <f>Datos!A20</f>
        <v xml:space="preserve">Jdos. Vigilancia Penitenciaria                  </v>
      </c>
      <c r="B20" s="498" t="str">
        <f>IF(ISNUMBER(NºAsuntos!G20/NºAsuntos!E20),NºAsuntos!G20/NºAsuntos!E20," - ")</f>
        <v xml:space="preserve"> - </v>
      </c>
      <c r="C20" s="499" t="str">
        <f>IF(ISNUMBER(NºAsuntos!I20/NºAsuntos!G20),NºAsuntos!I20/NºAsuntos!G20," - ")</f>
        <v xml:space="preserve"> - </v>
      </c>
      <c r="D20" s="500" t="str">
        <f>IF(ISNUMBER('Resol  Asuntos'!D20/NºAsuntos!G20),'Resol  Asuntos'!D20/NºAsuntos!G20," - ")</f>
        <v xml:space="preserve"> - </v>
      </c>
      <c r="E20" s="501" t="str">
        <f>IF(ISNUMBER((NºAsuntos!C20+NºAsuntos!E20)/NºAsuntos!G20),(NºAsuntos!C20+NºAsuntos!E20)/NºAsuntos!G20," - ")</f>
        <v xml:space="preserve"> - </v>
      </c>
      <c r="G20" s="524"/>
    </row>
    <row r="21" spans="1:7">
      <c r="A21" s="451" t="str">
        <f>Datos!A21</f>
        <v xml:space="preserve">Jdos. de lo Penal                               </v>
      </c>
      <c r="B21" s="498">
        <f>IF(ISNUMBER(NºAsuntos!G21/NºAsuntos!E21),NºAsuntos!G21/NºAsuntos!E21," - ")</f>
        <v>1.0449022715266771</v>
      </c>
      <c r="C21" s="499">
        <f>IF(ISNUMBER(NºAsuntos!I21/NºAsuntos!G21),NºAsuntos!I21/NºAsuntos!G21," - ")</f>
        <v>1.1744186046511629</v>
      </c>
      <c r="D21" s="500">
        <f>IF(ISNUMBER('Resol  Asuntos'!D21/NºAsuntos!G21),'Resol  Asuntos'!D21/NºAsuntos!G21," - ")</f>
        <v>0.92568250758341764</v>
      </c>
      <c r="E21" s="501">
        <f>IF(ISNUMBER((NºAsuntos!C21+NºAsuntos!E21)/NºAsuntos!G21),(NºAsuntos!C21+NºAsuntos!E21)/NºAsuntos!G21," - ")</f>
        <v>2.1744186046511627</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0.90776069642526391</v>
      </c>
      <c r="C23" s="1159">
        <f>IF(ISNUMBER(NºAsuntos!I23/NºAsuntos!G23),NºAsuntos!I23/NºAsuntos!G23," - ")</f>
        <v>0.63436033462558661</v>
      </c>
      <c r="D23" s="1162">
        <f>IF(ISNUMBER('Resol  Asuntos'!D23/NºAsuntos!G23),'Resol  Asuntos'!D23/NºAsuntos!G23," - ")</f>
        <v>0.29238930830442766</v>
      </c>
      <c r="E23" s="1161">
        <f>IF(ISNUMBER((NºAsuntos!C23+NºAsuntos!E23)/NºAsuntos!G23),(NºAsuntos!C23+NºAsuntos!E23)/NºAsuntos!G23," - ")</f>
        <v>1.6879208324831667</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t="str">
        <f>IF(ISNUMBER(NºAsuntos!G25/NºAsuntos!E25),NºAsuntos!G25/NºAsuntos!E25," - ")</f>
        <v xml:space="preserve"> - </v>
      </c>
      <c r="C25" s="499" t="str">
        <f>IF(ISNUMBER(NºAsuntos!I25/NºAsuntos!G25),NºAsuntos!I25/NºAsuntos!G25," - ")</f>
        <v xml:space="preserve"> - </v>
      </c>
      <c r="D25" s="500" t="str">
        <f>IF(ISNUMBER('Resol  Asuntos'!D25/NºAsuntos!G25),'Resol  Asuntos'!D25/NºAsuntos!G25," - ")</f>
        <v xml:space="preserve"> - </v>
      </c>
      <c r="E25" s="501" t="str">
        <f>IF(ISNUMBER((NºAsuntos!C25+NºAsuntos!E25)/NºAsuntos!G25),(NºAsuntos!C25+NºAsuntos!E25)/NºAsuntos!G25," - ")</f>
        <v xml:space="preserve"> - </v>
      </c>
      <c r="G25" s="524"/>
    </row>
    <row r="26" spans="1:7" ht="14.25" thickTop="1" thickBot="1">
      <c r="A26" s="1148" t="str">
        <f>Datos!A26</f>
        <v>TOTAL</v>
      </c>
      <c r="B26" s="1158" t="str">
        <f>IF(ISNUMBER(NºAsuntos!G26/NºAsuntos!E26),NºAsuntos!G26/NºAsuntos!E26," - ")</f>
        <v xml:space="preserve"> - </v>
      </c>
      <c r="C26" s="1159" t="str">
        <f>IF(ISNUMBER(NºAsuntos!I26/NºAsuntos!G26),NºAsuntos!I26/NºAsuntos!G26," - ")</f>
        <v xml:space="preserve"> - </v>
      </c>
      <c r="D26" s="1162" t="str">
        <f>IF(ISNUMBER('Resol  Asuntos'!D26/NºAsuntos!G26),'Resol  Asuntos'!D26/NºAsuntos!G26," - ")</f>
        <v xml:space="preserve"> - </v>
      </c>
      <c r="E26" s="1161" t="str">
        <f>IF(ISNUMBER((NºAsuntos!C26+NºAsuntos!E26)/NºAsuntos!G26),(NºAsuntos!C26+NºAsuntos!E26)/NºAsuntos!G26," - ")</f>
        <v xml:space="preserve"> - </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t="str">
        <f>IF(ISNUMBER(NºAsuntos!G28/NºAsuntos!E28),NºAsuntos!G28/NºAsuntos!E28," - ")</f>
        <v xml:space="preserve"> - </v>
      </c>
      <c r="C28" s="499" t="str">
        <f>IF(ISNUMBER(NºAsuntos!I28/NºAsuntos!G28),NºAsuntos!I28/NºAsuntos!G28," - ")</f>
        <v xml:space="preserve"> - </v>
      </c>
      <c r="D28" s="500" t="str">
        <f>IF(ISNUMBER('Resol  Asuntos'!D28/NºAsuntos!G28),'Resol  Asuntos'!D28/NºAsuntos!G28," - ")</f>
        <v xml:space="preserve"> - </v>
      </c>
      <c r="E28" s="501" t="str">
        <f>IF(ISNUMBER((NºAsuntos!C28+NºAsuntos!E28)/NºAsuntos!G28),(NºAsuntos!C28+NºAsuntos!E28)/NºAsuntos!G28," - ")</f>
        <v xml:space="preserve"> - </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t="str">
        <f>IF(ISNUMBER(NºAsuntos!G30/NºAsuntos!E30),NºAsuntos!G30/NºAsuntos!E30," - ")</f>
        <v xml:space="preserve"> - </v>
      </c>
      <c r="C30" s="1159" t="str">
        <f>IF(ISNUMBER(NºAsuntos!I30/NºAsuntos!G30),NºAsuntos!I30/NºAsuntos!G30," - ")</f>
        <v xml:space="preserve"> - </v>
      </c>
      <c r="D30" s="1162" t="str">
        <f>IF(ISNUMBER('Resol  Asuntos'!D30/NºAsuntos!G30),'Resol  Asuntos'!D30/NºAsuntos!G30," - ")</f>
        <v xml:space="preserve"> - </v>
      </c>
      <c r="E30" s="1161" t="str">
        <f>IF(ISNUMBER((NºAsuntos!C30+NºAsuntos!E30)/NºAsuntos!G30),(NºAsuntos!C30+NºAsuntos!E30)/NºAsuntos!G30," - ")</f>
        <v xml:space="preserve"> - </v>
      </c>
      <c r="G30" s="524"/>
    </row>
    <row r="31" spans="1:7" ht="15.75" customHeight="1" thickTop="1" thickBot="1">
      <c r="A31" s="1086" t="str">
        <f>Datos!A31</f>
        <v>TOTAL JURISDICCIONES</v>
      </c>
      <c r="B31" s="1101">
        <f>IF(ISNUMBER(NºAsuntos!G31/NºAsuntos!E31),NºAsuntos!G31/NºAsuntos!E31," - ")</f>
        <v>0.8623008654429194</v>
      </c>
      <c r="C31" s="1102">
        <f>IF(ISNUMBER(NºAsuntos!I31/NºAsuntos!G31),NºAsuntos!I31/NºAsuntos!G31," - ")</f>
        <v>0.92891389119734069</v>
      </c>
      <c r="D31" s="1103">
        <f>IF(ISNUMBER('Resol  Asuntos'!D31/NºAsuntos!G31),'Resol  Asuntos'!D31/NºAsuntos!G31," - ")</f>
        <v>0.27533081889663108</v>
      </c>
      <c r="E31" s="1104">
        <f>IF(ISNUMBER((NºAsuntos!C31+NºAsuntos!E31)/NºAsuntos!G31),(NºAsuntos!C31+NºAsuntos!E31)/NºAsuntos!G31," - ")</f>
        <v>1.9607492169021288</v>
      </c>
      <c r="G31" s="524"/>
    </row>
    <row r="32" spans="1:7">
      <c r="A32" s="460"/>
      <c r="B32" s="460"/>
      <c r="C32" s="460"/>
      <c r="G32" s="524"/>
    </row>
    <row r="33" spans="1:7">
      <c r="A33" s="462"/>
      <c r="B33" s="462"/>
      <c r="C33" s="462"/>
      <c r="G33" s="524"/>
    </row>
    <row r="34" spans="1:7">
      <c r="A34" s="1552"/>
      <c r="B34" s="1552"/>
      <c r="C34" s="1552"/>
      <c r="G34" s="524"/>
    </row>
    <row r="35" spans="1:7">
      <c r="A35" s="440" t="str">
        <f>Criterios!A4</f>
        <v>Fecha Informe: 05 abr. 2022</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AVBe5kCLes/t7IQuFo9Fqs6EXPgEGOOa2HjGDiqggTldDNuEmQ80ZY13NfzRKKubwf0cYS/djLBTm//phKX36Q==" saltValue="tWhxq6NTro+6DyjQro2Hz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VILANOVA I LA GELTRU</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42" t="s">
        <v>468</v>
      </c>
      <c r="B5" s="297"/>
      <c r="C5" s="1645" t="str">
        <f>"Año:  " &amp;Criterios!B$5 &amp; "          Trimestre   " &amp;Criterios!D$5 &amp; " al " &amp;Criterios!D$6</f>
        <v>Año:  2021          Trimestre   1 al 4</v>
      </c>
      <c r="D5" s="1602" t="s">
        <v>494</v>
      </c>
      <c r="E5" s="1602" t="s">
        <v>416</v>
      </c>
      <c r="F5" s="1647" t="s">
        <v>530</v>
      </c>
      <c r="G5" s="1650" t="s">
        <v>176</v>
      </c>
      <c r="H5" s="1609" t="s">
        <v>224</v>
      </c>
      <c r="I5" s="1609" t="s">
        <v>228</v>
      </c>
      <c r="J5" s="1609" t="s">
        <v>229</v>
      </c>
      <c r="K5" s="1609" t="s">
        <v>531</v>
      </c>
      <c r="L5" s="1609" t="s">
        <v>781</v>
      </c>
      <c r="M5" s="1609" t="s">
        <v>422</v>
      </c>
      <c r="N5" s="1609" t="s">
        <v>495</v>
      </c>
      <c r="O5" s="1609" t="s">
        <v>533</v>
      </c>
      <c r="P5" s="1609" t="s">
        <v>227</v>
      </c>
      <c r="Q5" s="1609" t="s">
        <v>59</v>
      </c>
      <c r="R5" s="1621" t="s">
        <v>230</v>
      </c>
      <c r="S5" s="1624" t="s">
        <v>233</v>
      </c>
      <c r="T5" s="1615" t="s">
        <v>234</v>
      </c>
      <c r="U5" s="1612" t="s">
        <v>235</v>
      </c>
      <c r="V5" s="1636" t="s">
        <v>420</v>
      </c>
      <c r="W5" s="1653" t="s">
        <v>236</v>
      </c>
      <c r="X5" s="1656" t="s">
        <v>237</v>
      </c>
      <c r="Y5" s="1656" t="s">
        <v>238</v>
      </c>
      <c r="Z5" s="1639" t="s">
        <v>239</v>
      </c>
      <c r="AA5" s="1627" t="s">
        <v>240</v>
      </c>
      <c r="AB5" s="1609" t="s">
        <v>241</v>
      </c>
      <c r="AC5" s="1609" t="s">
        <v>242</v>
      </c>
      <c r="AD5" s="1659" t="s">
        <v>243</v>
      </c>
      <c r="AE5" s="1602" t="s">
        <v>246</v>
      </c>
      <c r="AF5" s="1630" t="s">
        <v>244</v>
      </c>
      <c r="AG5" s="1609" t="s">
        <v>245</v>
      </c>
      <c r="AH5" s="1621" t="s">
        <v>264</v>
      </c>
      <c r="AI5" s="1627" t="s">
        <v>247</v>
      </c>
      <c r="AJ5" s="1633" t="s">
        <v>324</v>
      </c>
      <c r="AK5" s="1618" t="s">
        <v>325</v>
      </c>
      <c r="AL5" s="1602" t="s">
        <v>326</v>
      </c>
      <c r="AM5" s="1602" t="s">
        <v>476</v>
      </c>
      <c r="AN5" s="1602" t="s">
        <v>327</v>
      </c>
      <c r="AO5" s="1602" t="s">
        <v>328</v>
      </c>
      <c r="AP5" s="1602" t="s">
        <v>389</v>
      </c>
      <c r="AQ5" s="1602" t="s">
        <v>248</v>
      </c>
      <c r="AR5" s="1602" t="s">
        <v>249</v>
      </c>
      <c r="AS5" s="1602" t="s">
        <v>506</v>
      </c>
      <c r="AT5" s="1602" t="s">
        <v>378</v>
      </c>
      <c r="AU5" s="1602" t="s">
        <v>379</v>
      </c>
      <c r="AV5" s="1602" t="s">
        <v>439</v>
      </c>
      <c r="AW5" s="1602" t="s">
        <v>421</v>
      </c>
      <c r="AX5" s="1602" t="s">
        <v>1011</v>
      </c>
      <c r="AY5" s="1602" t="s">
        <v>1012</v>
      </c>
      <c r="BE5" s="1607" t="s">
        <v>265</v>
      </c>
      <c r="BF5" s="1608"/>
      <c r="BG5" s="1607" t="s">
        <v>266</v>
      </c>
      <c r="BH5" s="1608"/>
      <c r="BI5" s="1607" t="s">
        <v>267</v>
      </c>
      <c r="BJ5" s="1608"/>
      <c r="BK5" s="1607" t="s">
        <v>268</v>
      </c>
      <c r="BL5" s="1608"/>
    </row>
    <row r="6" spans="1:64" ht="21.75" customHeight="1">
      <c r="A6" s="1643"/>
      <c r="B6" s="298"/>
      <c r="C6" s="1646"/>
      <c r="D6" s="1603"/>
      <c r="E6" s="1603"/>
      <c r="F6" s="1648"/>
      <c r="G6" s="1651"/>
      <c r="H6" s="1610"/>
      <c r="I6" s="1610"/>
      <c r="J6" s="1610"/>
      <c r="K6" s="1610"/>
      <c r="L6" s="1610"/>
      <c r="M6" s="1610"/>
      <c r="N6" s="1610"/>
      <c r="O6" s="1610"/>
      <c r="P6" s="1610"/>
      <c r="Q6" s="1610"/>
      <c r="R6" s="1622"/>
      <c r="S6" s="1625"/>
      <c r="T6" s="1616"/>
      <c r="U6" s="1613"/>
      <c r="V6" s="1637"/>
      <c r="W6" s="1654"/>
      <c r="X6" s="1657"/>
      <c r="Y6" s="1657"/>
      <c r="Z6" s="1640"/>
      <c r="AA6" s="1628"/>
      <c r="AB6" s="1610"/>
      <c r="AC6" s="1610"/>
      <c r="AD6" s="1660"/>
      <c r="AE6" s="1603"/>
      <c r="AF6" s="1631"/>
      <c r="AG6" s="1610"/>
      <c r="AH6" s="1622"/>
      <c r="AI6" s="1628"/>
      <c r="AJ6" s="1634"/>
      <c r="AK6" s="1619"/>
      <c r="AL6" s="1603"/>
      <c r="AM6" s="1603"/>
      <c r="AN6" s="1603"/>
      <c r="AO6" s="1603"/>
      <c r="AP6" s="1603"/>
      <c r="AQ6" s="1603"/>
      <c r="AR6" s="1603"/>
      <c r="AS6" s="1603"/>
      <c r="AT6" s="1603"/>
      <c r="AU6" s="1603"/>
      <c r="AV6" s="1603"/>
      <c r="AW6" s="1603"/>
      <c r="AX6" s="1603"/>
      <c r="AY6" s="1603"/>
      <c r="BE6" s="1605" t="s">
        <v>225</v>
      </c>
      <c r="BF6" s="1605" t="s">
        <v>226</v>
      </c>
      <c r="BG6" s="1605" t="s">
        <v>225</v>
      </c>
      <c r="BH6" s="1605" t="s">
        <v>226</v>
      </c>
      <c r="BI6" s="1605" t="s">
        <v>225</v>
      </c>
      <c r="BJ6" s="1605" t="s">
        <v>226</v>
      </c>
      <c r="BK6" s="1605" t="s">
        <v>225</v>
      </c>
      <c r="BL6" s="1605" t="s">
        <v>226</v>
      </c>
    </row>
    <row r="7" spans="1:64" ht="38.25" customHeight="1" thickBot="1">
      <c r="A7" s="1644"/>
      <c r="B7" s="299"/>
      <c r="C7" s="288" t="str">
        <f>Datos!A7</f>
        <v>COMPETENCIAS</v>
      </c>
      <c r="D7" s="1604"/>
      <c r="E7" s="1604"/>
      <c r="F7" s="1649"/>
      <c r="G7" s="1652"/>
      <c r="H7" s="1611"/>
      <c r="I7" s="1611"/>
      <c r="J7" s="1611"/>
      <c r="K7" s="1611"/>
      <c r="L7" s="1611"/>
      <c r="M7" s="1611"/>
      <c r="N7" s="1611"/>
      <c r="O7" s="1611"/>
      <c r="P7" s="1611"/>
      <c r="Q7" s="1611"/>
      <c r="R7" s="1623"/>
      <c r="S7" s="1626"/>
      <c r="T7" s="1617"/>
      <c r="U7" s="1614"/>
      <c r="V7" s="1638"/>
      <c r="W7" s="1655"/>
      <c r="X7" s="1658"/>
      <c r="Y7" s="1658"/>
      <c r="Z7" s="1641"/>
      <c r="AA7" s="1629"/>
      <c r="AB7" s="1611"/>
      <c r="AC7" s="1611"/>
      <c r="AD7" s="1661"/>
      <c r="AE7" s="1604"/>
      <c r="AF7" s="1632"/>
      <c r="AG7" s="1611"/>
      <c r="AH7" s="1623"/>
      <c r="AI7" s="1629"/>
      <c r="AJ7" s="1635"/>
      <c r="AK7" s="1620"/>
      <c r="AL7" s="1604"/>
      <c r="AM7" s="1604"/>
      <c r="AN7" s="1604"/>
      <c r="AO7" s="1604"/>
      <c r="AP7" s="1604"/>
      <c r="AQ7" s="1604"/>
      <c r="AR7" s="1604"/>
      <c r="AS7" s="1604"/>
      <c r="AT7" s="1604"/>
      <c r="AU7" s="1604"/>
      <c r="AV7" s="1604"/>
      <c r="AW7" s="1604"/>
      <c r="AX7" s="1604"/>
      <c r="AY7" s="1604"/>
      <c r="BE7" s="1606"/>
      <c r="BF7" s="1606"/>
      <c r="BG7" s="1606"/>
      <c r="BH7" s="1606"/>
      <c r="BI7" s="1606"/>
      <c r="BJ7" s="1606"/>
      <c r="BK7" s="1606"/>
      <c r="BL7" s="1606"/>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0</v>
      </c>
      <c r="B9" s="190" t="s">
        <v>323</v>
      </c>
      <c r="C9" s="173" t="str">
        <f>Datos!A9</f>
        <v xml:space="preserve">Jdos. 1ª Instancia   </v>
      </c>
      <c r="D9" s="173"/>
      <c r="E9" s="290">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1</v>
      </c>
      <c r="B10" s="300" t="s">
        <v>323</v>
      </c>
      <c r="C10" s="7" t="str">
        <f>Datos!A10</f>
        <v>Jdos. Violencia contra la mujer</v>
      </c>
      <c r="D10" s="7"/>
      <c r="E10" s="290">
        <f>IF(ISNUMBER(Datos!AQ10),Datos!AQ10," - ")</f>
        <v>0</v>
      </c>
      <c r="F10" s="239">
        <f>IF(ISNUMBER(Datos!L10+Datos!K10-Datos!J10-K10),Datos!L10+Datos!K10-Datos!J10-K10," - ")</f>
        <v>76</v>
      </c>
      <c r="G10" s="373">
        <f>IF(ISNUMBER(Datos!I10),Datos!I10," - ")</f>
        <v>76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25</v>
      </c>
      <c r="X10" s="240">
        <f>IF(ISNUMBER(Datos!Q10),Datos!Q10," - ")</f>
        <v>1</v>
      </c>
      <c r="Y10" s="374">
        <f t="shared" ref="Y10:Y13" si="0">SUM(W10:X10)</f>
        <v>26</v>
      </c>
      <c r="Z10" s="375" t="str">
        <f>IF(ISNUMBER(Datos!CC10),Datos!CC10," - ")</f>
        <v xml:space="preserve"> - </v>
      </c>
      <c r="AA10" s="372">
        <f>IF(ISNUMBER(Datos!L10),Datos!L10,"-")</f>
        <v>111</v>
      </c>
      <c r="AB10" s="374">
        <f>IF(ISNUMBER(Datos!R10),Datos!R10," - ")</f>
        <v>41</v>
      </c>
      <c r="AC10" s="374">
        <f t="shared" ref="AC10:AC13" si="1">IF(ISNUMBER(AA10+AB10),AA10+AB10," - ")</f>
        <v>152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0.41666666666666669</v>
      </c>
      <c r="AM10" s="284">
        <f>IF(ISNUMBER(((NºAsuntos!I10/NºAsuntos!G10)*11)/factor_trimestre),((NºAsuntos!I10/NºAsuntos!G10)*11)/factor_trimestre," - ")</f>
        <v>48.84</v>
      </c>
      <c r="AN10" s="267">
        <f>IF(ISNUMBER('Resol  Asuntos'!D10/NºAsuntos!G10),'Resol  Asuntos'!D10/NºAsuntos!G10," - ")</f>
        <v>0.4</v>
      </c>
      <c r="AO10" s="268">
        <f>IF(ISNUMBER((NºAsuntos!C10+NºAsuntos!E10)/NºAsuntos!G10),(NºAsuntos!C10+NºAsuntos!E10)/NºAsuntos!G10," - ")</f>
        <v>5.44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0</v>
      </c>
      <c r="B11" s="300" t="s">
        <v>323</v>
      </c>
      <c r="C11" s="7" t="str">
        <f>Datos!A11</f>
        <v xml:space="preserve">Jdos. Familia                                   </v>
      </c>
      <c r="D11" s="7"/>
      <c r="E11" s="290">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9</v>
      </c>
      <c r="B12" s="300" t="s">
        <v>323</v>
      </c>
      <c r="C12" s="7" t="str">
        <f>Datos!A12</f>
        <v xml:space="preserve">Jdos. 1ª Instª. e Instr.                        </v>
      </c>
      <c r="D12" s="7"/>
      <c r="E12" s="290">
        <f>IF(ISNUMBER(Datos!AQ12),Datos!AQ12," - ")</f>
        <v>9</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1707</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1741</v>
      </c>
      <c r="Y12" s="374">
        <f t="shared" si="0"/>
        <v>1741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9731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1431</v>
      </c>
      <c r="AJ12" s="243" t="str">
        <f>IF(ISNUMBER(Datos!BW12),Datos!BW12," - ")</f>
        <v xml:space="preserve"> - </v>
      </c>
      <c r="AK12" s="242" t="str">
        <f>IF(ISNUMBER(Datos!BX12),Datos!BX12," - ")</f>
        <v xml:space="preserve"> - </v>
      </c>
      <c r="AL12" s="266">
        <f>IF(ISNUMBER(NºAsuntos!G12/NºAsuntos!E12),NºAsuntos!G12/NºAsuntos!E12," - ")</f>
        <v>0.79857201702595082</v>
      </c>
      <c r="AM12" s="284">
        <f>IF(ISNUMBER(((NºAsuntos!I12/NºAsuntos!G12)*11)/factor_trimestre),((NºAsuntos!I12/NºAsuntos!G12)*11)/factor_trimestre," - ")</f>
        <v>15.512723521320495</v>
      </c>
      <c r="AN12" s="267">
        <f>IF(ISNUMBER('Resol  Asuntos'!D12/NºAsuntos!G12),'Resol  Asuntos'!D12/NºAsuntos!G12," - ")</f>
        <v>0.24604539202200826</v>
      </c>
      <c r="AO12" s="268">
        <f>IF(ISNUMBER((NºAsuntos!C12+NºAsuntos!E12)/NºAsuntos!G12),(NºAsuntos!C12+NºAsuntos!E12)/NºAsuntos!G12," - ")</f>
        <v>2.4056052269601103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0</v>
      </c>
      <c r="B13" s="300" t="s">
        <v>323</v>
      </c>
      <c r="C13" s="7" t="str">
        <f>Datos!A13</f>
        <v xml:space="preserve">Jdos. de Menores    </v>
      </c>
      <c r="D13" s="7"/>
      <c r="E13" s="290">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9</v>
      </c>
      <c r="F14" s="1165">
        <f t="shared" si="5"/>
        <v>76</v>
      </c>
      <c r="G14" s="1166">
        <f t="shared" si="5"/>
        <v>76</v>
      </c>
      <c r="H14" s="1165">
        <f t="shared" si="5"/>
        <v>0</v>
      </c>
      <c r="I14" s="1167">
        <f t="shared" si="5"/>
        <v>0</v>
      </c>
      <c r="J14" s="1167">
        <f t="shared" si="5"/>
        <v>0</v>
      </c>
      <c r="K14" s="1167">
        <f t="shared" si="5"/>
        <v>0</v>
      </c>
      <c r="L14" s="1167">
        <f t="shared" si="5"/>
        <v>1709</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25</v>
      </c>
      <c r="X14" s="1167">
        <f t="shared" si="6"/>
        <v>1742</v>
      </c>
      <c r="Y14" s="1168">
        <f t="shared" si="6"/>
        <v>1767</v>
      </c>
      <c r="Z14" s="1168">
        <f t="shared" si="6"/>
        <v>0</v>
      </c>
      <c r="AA14" s="1168">
        <f t="shared" si="6"/>
        <v>111</v>
      </c>
      <c r="AB14" s="1168">
        <f t="shared" si="6"/>
        <v>9772</v>
      </c>
      <c r="AC14" s="1168">
        <f t="shared" si="6"/>
        <v>152</v>
      </c>
      <c r="AD14" s="1168">
        <f t="shared" si="6"/>
        <v>0</v>
      </c>
      <c r="AE14" s="1172">
        <f t="shared" si="6"/>
        <v>0</v>
      </c>
      <c r="AF14" s="1165">
        <f t="shared" si="6"/>
        <v>0</v>
      </c>
      <c r="AG14" s="1173">
        <f t="shared" si="6"/>
        <v>0</v>
      </c>
      <c r="AH14" s="1170">
        <f t="shared" si="6"/>
        <v>0</v>
      </c>
      <c r="AI14" s="1165">
        <f t="shared" si="6"/>
        <v>1441</v>
      </c>
      <c r="AJ14" s="1167">
        <f t="shared" si="6"/>
        <v>0</v>
      </c>
      <c r="AK14" s="1170">
        <f>SUBTOTAL(9,AK9:AK13)</f>
        <v>0</v>
      </c>
      <c r="AL14" s="1174">
        <f>IF(ISNUMBER(NºAsuntos!G14/NºAsuntos!E14),NºAsuntos!G14/NºAsuntos!E14," - ")</f>
        <v>0.79545145036088793</v>
      </c>
      <c r="AM14" s="1174">
        <f>IF(ISNUMBER(((NºAsuntos!I14/NºAsuntos!G14)*11)/factor_trimestre),((NºAsuntos!I14/NºAsuntos!G14)*11)/factor_trimestre," - ")</f>
        <v>15.655367231638417</v>
      </c>
      <c r="AN14" s="1175">
        <f>IF(ISNUMBER('Resol  Asuntos'!D14/NºAsuntos!G14),'Resol  Asuntos'!D14/NºAsuntos!G14," - ")</f>
        <v>0.24670433145009416</v>
      </c>
      <c r="AO14" s="1176">
        <f>IF(ISNUMBER((NºAsuntos!C14+NºAsuntos!E14)/NºAsuntos!G14),(NºAsuntos!C14+NºAsuntos!E14)/NºAsuntos!G14," - ")</f>
        <v>2.4185927067282997</v>
      </c>
      <c r="AP14" s="1177" t="str">
        <f t="shared" si="2"/>
        <v xml:space="preserve"> - </v>
      </c>
      <c r="AQ14" s="1177">
        <f>IF(ISNUMBER((H14-W14+K14)/(F14)),(H14-W14+K14)/(F14)," - ")</f>
        <v>-0.32894736842105265</v>
      </c>
      <c r="AR14" s="1178">
        <f>IF(ISNUMBER((Datos!P14-Datos!Q14)/(Datos!R14-Datos!P14+Datos!Q14)),(Datos!P14-Datos!Q14)/(Datos!R14-Datos!P14+Datos!Q14)," - ")</f>
        <v>-3.3656297807241205E-3</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0</v>
      </c>
      <c r="B16" s="300" t="s">
        <v>514</v>
      </c>
      <c r="C16" s="173" t="str">
        <f>Datos!A16</f>
        <v xml:space="preserve">Jdos. Instrucción                               </v>
      </c>
      <c r="D16" s="173"/>
      <c r="E16" s="290">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9</v>
      </c>
      <c r="B17" s="300" t="s">
        <v>514</v>
      </c>
      <c r="C17" s="173" t="str">
        <f>Datos!A17</f>
        <v xml:space="preserve">Jdos. 1ª Instª. e Instr.                        </v>
      </c>
      <c r="D17" s="173"/>
      <c r="E17" s="290">
        <f>IF(ISNUMBER(Datos!AQ17),Datos!AQ17," - ")</f>
        <v>9</v>
      </c>
      <c r="F17" s="239">
        <f>IF(ISNUMBER(AA17+W17-Datos!J17-K17),AA17+W17-Datos!J17-K17," - ")</f>
        <v>2707</v>
      </c>
      <c r="G17" s="373">
        <f>IF(ISNUMBER(IF(D_I="SI",Datos!I17,Datos!I17+Datos!AC17)),IF(D_I="SI",Datos!I17,Datos!I17+Datos!AC17)," - ")</f>
        <v>3086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348</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f>IF(ISNUMBER(IF(D_I="SI",Datos!K17,Datos!K17+Datos!AE17)),IF(D_I="SI",Datos!K17,Datos!K17+Datos!AE17)," - ")</f>
        <v>7449</v>
      </c>
      <c r="X17" s="240">
        <f>IF(ISNUMBER(Datos!Q17),Datos!Q17," - ")</f>
        <v>252</v>
      </c>
      <c r="Y17" s="374">
        <f t="shared" ref="Y17:Y22" si="9">SUM(W17:X17)</f>
        <v>7701</v>
      </c>
      <c r="Z17" s="375" t="str">
        <f>IF(ISNUMBER(Datos!CC17),Datos!CC17," - ")</f>
        <v xml:space="preserve"> - </v>
      </c>
      <c r="AA17" s="372">
        <f>IF(ISNUMBER(IF(D_I="SI",Datos!L17,Datos!L17+Datos!AF17)),IF(D_I="SI",Datos!L17,Datos!L17+Datos!AF17)," - ")</f>
        <v>3639</v>
      </c>
      <c r="AB17" s="374">
        <f>IF(ISNUMBER(Datos!R17),Datos!R17," - ")</f>
        <v>428</v>
      </c>
      <c r="AC17" s="374">
        <f t="shared" si="8"/>
        <v>4067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1024</v>
      </c>
      <c r="AJ17" s="245" t="str">
        <f>IF(ISNUMBER(Datos!BW17),Datos!BW17," - ")</f>
        <v xml:space="preserve"> - </v>
      </c>
      <c r="AK17" s="246" t="str">
        <f>IF(ISNUMBER(Datos!BX17),Datos!BX17," - ")</f>
        <v xml:space="preserve"> - </v>
      </c>
      <c r="AL17" s="266">
        <f>IF(ISNUMBER(NºAsuntos!G17/NºAsuntos!E17),NºAsuntos!G17/NºAsuntos!E17," - ")</f>
        <v>0.88879608638587282</v>
      </c>
      <c r="AM17" s="284">
        <f>IF(ISNUMBER(((NºAsuntos!I17/NºAsuntos!G17)*11)/factor_trimestre),((NºAsuntos!I17/NºAsuntos!G17)*11)/factor_trimestre," - ")</f>
        <v>5.3737414418042686</v>
      </c>
      <c r="AN17" s="267">
        <f>IF(ISNUMBER('Resol  Asuntos'!D17/NºAsuntos!G17),'Resol  Asuntos'!D17/NºAsuntos!G17," - ")</f>
        <v>0.13746811652570814</v>
      </c>
      <c r="AO17" s="268">
        <f>IF(ISNUMBER((NºAsuntos!C17+NºAsuntos!E17)/NºAsuntos!G17),(NºAsuntos!C17+NºAsuntos!E17)/NºAsuntos!G17," - ")</f>
        <v>1.5394012619143509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1</v>
      </c>
      <c r="B18" s="300" t="s">
        <v>514</v>
      </c>
      <c r="C18" s="7" t="str">
        <f>Datos!A18</f>
        <v>Jdos. Violencia contra la mujer</v>
      </c>
      <c r="D18" s="7"/>
      <c r="E18" s="290">
        <f>IF(ISNUMBER(Datos!AQ18),Datos!AQ18," - ")</f>
        <v>0</v>
      </c>
      <c r="F18" s="239" t="str">
        <f>IF(ISNUMBER(AA18+W18-H18-K18),AA18+W18-H18-K18," - ")</f>
        <v xml:space="preserve"> - </v>
      </c>
      <c r="G18" s="373">
        <f>IF(ISNUMBER(IF(D_I="SI",Datos!I18,Datos!I18+Datos!AC18)),IF(D_I="SI",Datos!I18,Datos!I18+Datos!AC18)," - ")</f>
        <v>253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375</v>
      </c>
      <c r="X18" s="240">
        <f>IF(ISNUMBER(Datos!Q18),Datos!Q18," - ")</f>
        <v>0</v>
      </c>
      <c r="Y18" s="374">
        <f t="shared" si="9"/>
        <v>375</v>
      </c>
      <c r="Z18" s="375" t="str">
        <f>IF(ISNUMBER(Datos!CC18),Datos!CC18," - ")</f>
        <v xml:space="preserve"> - </v>
      </c>
      <c r="AA18" s="372">
        <f>IF(ISNUMBER(Datos!L18),Datos!L18,"-")</f>
        <v>256</v>
      </c>
      <c r="AB18" s="374">
        <f>IF(ISNUMBER(Datos!R18),Datos!R18," - ")</f>
        <v>3</v>
      </c>
      <c r="AC18" s="374">
        <f t="shared" si="8"/>
        <v>259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0.71564885496183206</v>
      </c>
      <c r="AM18" s="284">
        <f>IF(ISNUMBER(((NºAsuntos!I18/NºAsuntos!G18)*11)/factor_trimestre),((NºAsuntos!I18/NºAsuntos!G18)*11)/factor_trimestre," - ")</f>
        <v>7.5093333333333332</v>
      </c>
      <c r="AN18" s="267">
        <f>IF(ISNUMBER('Resol  Asuntos'!D18/NºAsuntos!G18),'Resol  Asuntos'!D18/NºAsuntos!G18," - ")</f>
        <v>2.9333333333333333E-2</v>
      </c>
      <c r="AO18" s="268">
        <f>IF(ISNUMBER((NºAsuntos!C18+NºAsuntos!E18)/NºAsuntos!G18),(NºAsuntos!C18+NºAsuntos!E18)/NºAsuntos!G18," - ")</f>
        <v>2.0720000000000001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0</v>
      </c>
      <c r="B19" s="300" t="s">
        <v>514</v>
      </c>
      <c r="C19" s="7" t="str">
        <f>Datos!A19</f>
        <v xml:space="preserve">Jdos. de Menores                                </v>
      </c>
      <c r="D19" s="7"/>
      <c r="E19" s="290">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514</v>
      </c>
      <c r="C20" s="751" t="str">
        <f>Datos!A20</f>
        <v xml:space="preserve">Jdos. Vigilancia Penitenciaria                  </v>
      </c>
      <c r="D20" s="751"/>
      <c r="E20" s="721">
        <f>IF(ISNUMBER(Datos!AQ20),Datos!AQ20," - ")</f>
        <v>0</v>
      </c>
      <c r="F20" s="556" t="str">
        <f>IF(ISNUMBER(Datos!L20+Datos!K20-Datos!J20-K20),Datos!L20+Datos!K20-Datos!J20-K20," - ")</f>
        <v xml:space="preserve"> - </v>
      </c>
      <c r="G20" s="547" t="str">
        <f>IF(ISNUMBER(Datos!I20),Datos!I20," - ")</f>
        <v xml:space="preserve"> - </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t="str">
        <f>IF(ISNUMBER(Datos!K20),Datos!K20," - ")</f>
        <v xml:space="preserve"> - </v>
      </c>
      <c r="X20" s="551" t="str">
        <f>IF(ISNUMBER(Datos!Q20),Datos!Q20," - ")</f>
        <v xml:space="preserve"> - </v>
      </c>
      <c r="Y20" s="553">
        <f t="shared" si="9"/>
        <v>0</v>
      </c>
      <c r="Z20" s="771" t="str">
        <f>IF(ISNUMBER(Datos!CC20),Datos!CC20," - ")</f>
        <v xml:space="preserve"> - </v>
      </c>
      <c r="AA20" s="555" t="str">
        <f>IF(ISNUMBER(Datos!L20),Datos!L20,"-")</f>
        <v>-</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t="str">
        <f>IF(ISNUMBER(Datos!N20),Datos!N20," - ")</f>
        <v xml:space="preserve"> - </v>
      </c>
      <c r="AJ20" s="799" t="str">
        <f>IF(ISNUMBER(Datos!BW20),Datos!BW20," - ")</f>
        <v xml:space="preserve"> - </v>
      </c>
      <c r="AK20" s="800" t="str">
        <f>IF(ISNUMBER(Datos!BX20),Datos!BX20," - ")</f>
        <v xml:space="preserve"> - </v>
      </c>
      <c r="AL20" s="768" t="str">
        <f>IF(ISNUMBER(NºAsuntos!G20/NºAsuntos!E20),NºAsuntos!G20/NºAsuntos!E20," - ")</f>
        <v xml:space="preserve"> - </v>
      </c>
      <c r="AM20" s="769" t="str">
        <f>IF(ISNUMBER(((NºAsuntos!I20/NºAsuntos!G20)*11)/factor_trimestre),((NºAsuntos!I20/NºAsuntos!G20)*11)/factor_trimestre," - ")</f>
        <v xml:space="preserve"> - </v>
      </c>
      <c r="AN20" s="801" t="str">
        <f>IF(ISNUMBER('Resol  Asuntos'!D20/NºAsuntos!G20),'Resol  Asuntos'!D20/NºAsuntos!G20," - ")</f>
        <v xml:space="preserve"> - </v>
      </c>
      <c r="AO20" s="802" t="str">
        <f>IF(ISNUMBER((NºAsuntos!C20+NºAsuntos!E20)/NºAsuntos!G20),(NºAsuntos!C20+NºAsuntos!E20)/NºAsuntos!G20," - ")</f>
        <v xml:space="preserve"> - </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4</v>
      </c>
      <c r="B21" s="300" t="s">
        <v>514</v>
      </c>
      <c r="C21" s="7" t="str">
        <f>Datos!A21</f>
        <v xml:space="preserve">Jdos. de lo Penal                               </v>
      </c>
      <c r="D21" s="7"/>
      <c r="E21" s="290">
        <f>IF(ISNUMBER(Datos!AQ21),Datos!AQ21," - ")</f>
        <v>4</v>
      </c>
      <c r="F21" s="239">
        <f>IF(ISNUMBER(Datos!L21+Datos!K21-Datos!J21-K21),Datos!L21+Datos!K21-Datos!J21-K21," - ")</f>
        <v>2408</v>
      </c>
      <c r="G21" s="373">
        <f>IF(ISNUMBER(Datos!I21),Datos!I21," - ")</f>
        <v>2408</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2150</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f>IF(ISNUMBER(Datos!K21),Datos!K21," - ")</f>
        <v>1978</v>
      </c>
      <c r="X21" s="240">
        <f>IF(ISNUMBER(Datos!Q21),Datos!Q21," - ")</f>
        <v>2910</v>
      </c>
      <c r="Y21" s="374">
        <f t="shared" si="9"/>
        <v>4888</v>
      </c>
      <c r="Z21" s="375" t="str">
        <f>IF(ISNUMBER(Datos!CC21),Datos!CC21," - ")</f>
        <v xml:space="preserve"> - </v>
      </c>
      <c r="AA21" s="372">
        <f>IF(ISNUMBER(Datos!L21),Datos!L21,"-")</f>
        <v>2323</v>
      </c>
      <c r="AB21" s="374">
        <f>IF(ISNUMBER(Datos!R21),Datos!R21," - ")</f>
        <v>5839</v>
      </c>
      <c r="AC21" s="374">
        <f t="shared" si="8"/>
        <v>8162</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1831</v>
      </c>
      <c r="AJ21" s="245" t="str">
        <f>IF(ISNUMBER(Datos!BW21),Datos!BW21," - ")</f>
        <v xml:space="preserve"> - </v>
      </c>
      <c r="AK21" s="246" t="str">
        <f>IF(ISNUMBER(Datos!BX21),Datos!BX21," - ")</f>
        <v xml:space="preserve"> - </v>
      </c>
      <c r="AL21" s="266">
        <f>IF(ISNUMBER(NºAsuntos!G21/NºAsuntos!E21),NºAsuntos!G21/NºAsuntos!E21," - ")</f>
        <v>1.0449022715266771</v>
      </c>
      <c r="AM21" s="284">
        <f>IF(ISNUMBER(((NºAsuntos!I21/NºAsuntos!G21)*11)/factor_trimestre),((NºAsuntos!I21/NºAsuntos!G21)*11)/factor_trimestre," - ")</f>
        <v>12.918604651162791</v>
      </c>
      <c r="AN21" s="267">
        <f>IF(ISNUMBER('Resol  Asuntos'!D21/NºAsuntos!G21),'Resol  Asuntos'!D21/NºAsuntos!G21," - ")</f>
        <v>0.92568250758341764</v>
      </c>
      <c r="AO21" s="268">
        <f>IF(ISNUMBER((NºAsuntos!C21+NºAsuntos!E21)/NºAsuntos!G21),(NºAsuntos!C21+NºAsuntos!E21)/NºAsuntos!G21," - ")</f>
        <v>2.1744186046511627</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514</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13</v>
      </c>
      <c r="F23" s="1165">
        <f>SUBTOTAL(9,F15:F22)</f>
        <v>5115</v>
      </c>
      <c r="G23" s="1166">
        <f>SUBTOTAL(9,G16:G22)</f>
        <v>5747</v>
      </c>
      <c r="H23" s="1165">
        <f t="shared" ref="H23:O23" si="13">SUBTOTAL(9,H15:H22)</f>
        <v>0</v>
      </c>
      <c r="I23" s="1167">
        <f t="shared" si="13"/>
        <v>0</v>
      </c>
      <c r="J23" s="1167">
        <f t="shared" si="13"/>
        <v>0</v>
      </c>
      <c r="K23" s="1167">
        <f t="shared" si="13"/>
        <v>0</v>
      </c>
      <c r="L23" s="1167">
        <f t="shared" si="13"/>
        <v>2498</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9802</v>
      </c>
      <c r="X23" s="1167">
        <f t="shared" si="14"/>
        <v>3162</v>
      </c>
      <c r="Y23" s="1168">
        <f t="shared" si="14"/>
        <v>12964</v>
      </c>
      <c r="Z23" s="1168">
        <f t="shared" si="14"/>
        <v>0</v>
      </c>
      <c r="AA23" s="1168">
        <f t="shared" si="14"/>
        <v>6218</v>
      </c>
      <c r="AB23" s="1168">
        <f t="shared" si="14"/>
        <v>6270</v>
      </c>
      <c r="AC23" s="1168">
        <f t="shared" si="14"/>
        <v>12488</v>
      </c>
      <c r="AD23" s="1168">
        <f t="shared" si="14"/>
        <v>0</v>
      </c>
      <c r="AE23" s="1172">
        <f t="shared" si="14"/>
        <v>0</v>
      </c>
      <c r="AF23" s="1165">
        <f t="shared" si="14"/>
        <v>0</v>
      </c>
      <c r="AG23" s="1173">
        <f t="shared" si="14"/>
        <v>0</v>
      </c>
      <c r="AH23" s="1170">
        <f t="shared" si="14"/>
        <v>0</v>
      </c>
      <c r="AI23" s="1165">
        <f t="shared" si="14"/>
        <v>2866</v>
      </c>
      <c r="AJ23" s="1167">
        <f t="shared" si="14"/>
        <v>0</v>
      </c>
      <c r="AK23" s="1170">
        <f t="shared" si="14"/>
        <v>0</v>
      </c>
      <c r="AL23" s="1174">
        <f>IF(ISNUMBER(NºAsuntos!G23/NºAsuntos!E23),NºAsuntos!G23/NºAsuntos!E23," - ")</f>
        <v>0.90776069642526391</v>
      </c>
      <c r="AM23" s="1174">
        <f>IF(ISNUMBER(((NºAsuntos!I23/NºAsuntos!G23)*11)/factor_trimestre),((NºAsuntos!I23/NºAsuntos!G23)*11)/factor_trimestre," - ")</f>
        <v>6.9779636808814525</v>
      </c>
      <c r="AN23" s="1175">
        <f>IF(ISNUMBER('Resol  Asuntos'!D23/NºAsuntos!G23),'Resol  Asuntos'!D23/NºAsuntos!G23," - ")</f>
        <v>0.29238930830442766</v>
      </c>
      <c r="AO23" s="1176">
        <f>IF(ISNUMBER((NºAsuntos!C23+NºAsuntos!E23)/NºAsuntos!G23),(NºAsuntos!C23+NºAsuntos!E23)/NºAsuntos!G23," - ")</f>
        <v>1.6879208324831667</v>
      </c>
      <c r="AP23" s="1177" t="str">
        <f t="shared" si="2"/>
        <v xml:space="preserve"> - </v>
      </c>
      <c r="AQ23" s="1177">
        <f>IF(ISNUMBER((H23-W23+K23)/(F23)),(H23-W23+K23)/(F23)," - ")</f>
        <v>-1.9163245356793743</v>
      </c>
      <c r="AR23" s="1178">
        <f>IF(ISNUMBER((Datos!P23-Datos!Q23)/(Datos!R23-Datos!P23+Datos!Q23)),(Datos!P23-Datos!Q23)/(Datos!R23-Datos!P23+Datos!Q23)," - ")</f>
        <v>-9.5760023074704353E-2</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0</v>
      </c>
      <c r="B25" s="300" t="s">
        <v>515</v>
      </c>
      <c r="C25" s="7" t="str">
        <f>Datos!A25</f>
        <v xml:space="preserve">Jdos Cont.-Admvo.                               </v>
      </c>
      <c r="D25" s="7"/>
      <c r="E25" s="290">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0</v>
      </c>
      <c r="F26" s="1165">
        <f>SUBTOTAL(9,F25:F25)</f>
        <v>0</v>
      </c>
      <c r="G26" s="1165">
        <f>SUBTOTAL(9,G25:G25)</f>
        <v>0</v>
      </c>
      <c r="H26" s="1165">
        <f>SUBTOTAL(9,H25:H25)</f>
        <v>0</v>
      </c>
      <c r="I26" s="1170">
        <f>SUBTOTAL(9,I25:I25)</f>
        <v>0</v>
      </c>
      <c r="J26" s="1170">
        <f>SUBTOTAL(9,J25:J25)</f>
        <v>0</v>
      </c>
      <c r="K26" s="1170">
        <f>SUBTOTAL(9,K22:K25)</f>
        <v>0</v>
      </c>
      <c r="L26" s="1170">
        <f>SUBTOTAL(9,L25:L25)</f>
        <v>0</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0</v>
      </c>
      <c r="X26" s="1167">
        <f t="shared" si="17"/>
        <v>0</v>
      </c>
      <c r="Y26" s="1168">
        <f t="shared" si="17"/>
        <v>0</v>
      </c>
      <c r="Z26" s="1168">
        <f t="shared" si="17"/>
        <v>0</v>
      </c>
      <c r="AA26" s="1168">
        <f t="shared" si="17"/>
        <v>0</v>
      </c>
      <c r="AB26" s="1168">
        <f t="shared" si="17"/>
        <v>0</v>
      </c>
      <c r="AC26" s="1168">
        <f t="shared" si="17"/>
        <v>0</v>
      </c>
      <c r="AD26" s="1168">
        <f t="shared" si="17"/>
        <v>0</v>
      </c>
      <c r="AE26" s="1172">
        <f t="shared" si="17"/>
        <v>0</v>
      </c>
      <c r="AF26" s="1165">
        <f t="shared" si="17"/>
        <v>0</v>
      </c>
      <c r="AG26" s="1173">
        <f t="shared" si="17"/>
        <v>0</v>
      </c>
      <c r="AH26" s="1170">
        <f t="shared" si="17"/>
        <v>0</v>
      </c>
      <c r="AI26" s="1165">
        <f t="shared" si="17"/>
        <v>0</v>
      </c>
      <c r="AJ26" s="1167">
        <f t="shared" si="17"/>
        <v>0</v>
      </c>
      <c r="AK26" s="1170">
        <f t="shared" si="17"/>
        <v>0</v>
      </c>
      <c r="AL26" s="1174" t="str">
        <f>IF(ISNUMBER(NºAsuntos!G26/NºAsuntos!E26),NºAsuntos!G26/NºAsuntos!E26," - ")</f>
        <v xml:space="preserve"> - </v>
      </c>
      <c r="AM26" s="1174" t="str">
        <f>IF(ISNUMBER(((NºAsuntos!I26/NºAsuntos!G26)*11)/factor_trimestre),((NºAsuntos!I26/NºAsuntos!G26)*11)/factor_trimestre," - ")</f>
        <v xml:space="preserve"> - </v>
      </c>
      <c r="AN26" s="1175" t="str">
        <f>IF(ISNUMBER('Resol  Asuntos'!D26/NºAsuntos!G26),'Resol  Asuntos'!D26/NºAsuntos!G26," - ")</f>
        <v xml:space="preserve"> - </v>
      </c>
      <c r="AO26" s="1176" t="str">
        <f>IF(ISNUMBER((NºAsuntos!C26+NºAsuntos!E26)/NºAsuntos!G26),(NºAsuntos!C26+NºAsuntos!E26)/NºAsuntos!G26," - ")</f>
        <v xml:space="preserve"> - </v>
      </c>
      <c r="AP26" s="1177" t="str">
        <f t="shared" si="2"/>
        <v xml:space="preserve"> - </v>
      </c>
      <c r="AQ26" s="1177" t="str">
        <f t="shared" si="16"/>
        <v xml:space="preserve"> - </v>
      </c>
      <c r="AR26" s="1178" t="str">
        <f>IF(ISNUMBER((Datos!P26-Datos!Q26)/(Datos!R26-Datos!P26+Datos!Q26)),(Datos!P26-Datos!Q26)/(Datos!R26-Datos!P26+Datos!Q26)," - ")</f>
        <v xml:space="preserve"> - </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0</v>
      </c>
      <c r="B28" s="300" t="s">
        <v>516</v>
      </c>
      <c r="C28" s="7" t="str">
        <f>Datos!A28</f>
        <v xml:space="preserve">Jdos. de lo Social                              </v>
      </c>
      <c r="D28" s="7"/>
      <c r="E28" s="290">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516</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0</v>
      </c>
      <c r="F30" s="1165">
        <f>SUBTOTAL(9,F28:F29)</f>
        <v>0</v>
      </c>
      <c r="G30" s="1165">
        <f>SUBTOTAL(9,G28:G29)</f>
        <v>0</v>
      </c>
      <c r="H30" s="1165">
        <f>SUBTOTAL(9,H28:H29)</f>
        <v>0</v>
      </c>
      <c r="I30" s="1170">
        <f>SUBTOTAL(9,I28:I29)</f>
        <v>0</v>
      </c>
      <c r="J30" s="1170">
        <f>SUBTOTAL(9,J28:J29)</f>
        <v>0</v>
      </c>
      <c r="K30" s="1170">
        <f>SUBTOTAL(9,K23:K29)</f>
        <v>0</v>
      </c>
      <c r="L30" s="1170">
        <f>SUBTOTAL(9,L28:L29)</f>
        <v>0</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0</v>
      </c>
      <c r="X30" s="1167">
        <f t="shared" si="19"/>
        <v>0</v>
      </c>
      <c r="Y30" s="1168">
        <f t="shared" si="19"/>
        <v>0</v>
      </c>
      <c r="Z30" s="1168">
        <f t="shared" si="19"/>
        <v>0</v>
      </c>
      <c r="AA30" s="1168">
        <f t="shared" si="19"/>
        <v>0</v>
      </c>
      <c r="AB30" s="1168">
        <f t="shared" si="19"/>
        <v>0</v>
      </c>
      <c r="AC30" s="1168">
        <f t="shared" si="19"/>
        <v>0</v>
      </c>
      <c r="AD30" s="1168">
        <f t="shared" si="19"/>
        <v>0</v>
      </c>
      <c r="AE30" s="1172">
        <f t="shared" si="19"/>
        <v>0</v>
      </c>
      <c r="AF30" s="1165">
        <f t="shared" si="19"/>
        <v>0</v>
      </c>
      <c r="AG30" s="1173">
        <f t="shared" si="19"/>
        <v>0</v>
      </c>
      <c r="AH30" s="1170">
        <f t="shared" si="19"/>
        <v>0</v>
      </c>
      <c r="AI30" s="1165">
        <f t="shared" si="19"/>
        <v>0</v>
      </c>
      <c r="AJ30" s="1167">
        <f t="shared" si="19"/>
        <v>0</v>
      </c>
      <c r="AK30" s="1170">
        <f t="shared" si="19"/>
        <v>0</v>
      </c>
      <c r="AL30" s="1174" t="str">
        <f>IF(ISNUMBER(NºAsuntos!G30/NºAsuntos!E30),NºAsuntos!G30/NºAsuntos!E30," - ")</f>
        <v xml:space="preserve"> - </v>
      </c>
      <c r="AM30" s="1174" t="str">
        <f>IF(ISNUMBER(((NºAsuntos!I30/NºAsuntos!G30)*11)/factor_trimestre),((NºAsuntos!I30/NºAsuntos!G30)*11)/factor_trimestre," - ")</f>
        <v xml:space="preserve"> - </v>
      </c>
      <c r="AN30" s="1175" t="str">
        <f>IF(ISNUMBER('Resol  Asuntos'!D30/NºAsuntos!G30),'Resol  Asuntos'!D30/NºAsuntos!G30," - ")</f>
        <v xml:space="preserve"> - </v>
      </c>
      <c r="AO30" s="1176" t="str">
        <f>IF(ISNUMBER((NºAsuntos!C30+NºAsuntos!E30)/NºAsuntos!G30),(NºAsuntos!C30+NºAsuntos!E30)/NºAsuntos!G30," - ")</f>
        <v xml:space="preserve"> - </v>
      </c>
      <c r="AP30" s="1177" t="str">
        <f t="shared" si="2"/>
        <v xml:space="preserve"> - </v>
      </c>
      <c r="AQ30" s="1177" t="str">
        <f t="shared" si="18"/>
        <v xml:space="preserve"> - </v>
      </c>
      <c r="AR30" s="1178" t="str">
        <f>IF(ISNUMBER((Datos!P30-Datos!Q30)/(Datos!R30-Datos!P30+Datos!Q30)),(Datos!P30-Datos!Q30)/(Datos!R30-Datos!P30+Datos!Q30)," - ")</f>
        <v xml:space="preserve"> - </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22</v>
      </c>
      <c r="F31" s="1120">
        <f t="shared" si="20"/>
        <v>5191</v>
      </c>
      <c r="G31" s="1121">
        <f t="shared" si="20"/>
        <v>5823</v>
      </c>
      <c r="H31" s="1120">
        <f t="shared" si="20"/>
        <v>0</v>
      </c>
      <c r="I31" s="1122">
        <f t="shared" si="20"/>
        <v>0</v>
      </c>
      <c r="J31" s="1122">
        <f t="shared" si="20"/>
        <v>0</v>
      </c>
      <c r="K31" s="1183">
        <f t="shared" si="20"/>
        <v>0</v>
      </c>
      <c r="L31" s="1122">
        <f t="shared" si="20"/>
        <v>4207</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9827</v>
      </c>
      <c r="X31" s="1121">
        <f t="shared" si="21"/>
        <v>4904</v>
      </c>
      <c r="Y31" s="1128">
        <f t="shared" si="21"/>
        <v>14731</v>
      </c>
      <c r="Z31" s="1128">
        <f t="shared" si="21"/>
        <v>0</v>
      </c>
      <c r="AA31" s="1128">
        <f t="shared" si="21"/>
        <v>6329</v>
      </c>
      <c r="AB31" s="1128">
        <f t="shared" si="21"/>
        <v>16042</v>
      </c>
      <c r="AC31" s="1128">
        <f t="shared" si="21"/>
        <v>12640</v>
      </c>
      <c r="AD31" s="1128">
        <f t="shared" si="21"/>
        <v>0</v>
      </c>
      <c r="AE31" s="1130">
        <f t="shared" si="21"/>
        <v>0</v>
      </c>
      <c r="AF31" s="1131">
        <f t="shared" si="21"/>
        <v>0</v>
      </c>
      <c r="AG31" s="1132">
        <f t="shared" si="21"/>
        <v>0</v>
      </c>
      <c r="AH31" s="1130">
        <f t="shared" si="21"/>
        <v>0</v>
      </c>
      <c r="AI31" s="1120">
        <f t="shared" si="21"/>
        <v>4307</v>
      </c>
      <c r="AJ31" s="1120">
        <f t="shared" si="21"/>
        <v>0</v>
      </c>
      <c r="AK31" s="1130">
        <f t="shared" si="21"/>
        <v>0</v>
      </c>
      <c r="AL31" s="1186">
        <f>IF(ISNUMBER(NºAsuntos!G31/NºAsuntos!E31),NºAsuntos!G31/NºAsuntos!E31," - ")</f>
        <v>0.8623008654429194</v>
      </c>
      <c r="AM31" s="1187">
        <f>IF(ISNUMBER(((NºAsuntos!I31/NºAsuntos!G31)*11)/factor_trimestre),((NºAsuntos!I31/NºAsuntos!G31)*11)/factor_trimestre," - ")</f>
        <v>10.218052803170748</v>
      </c>
      <c r="AN31" s="1187">
        <f>IF(ISNUMBER('Resol  Asuntos'!D31/NºAsuntos!G31),'Resol  Asuntos'!D31/NºAsuntos!G31," - ")</f>
        <v>0.27533081889663108</v>
      </c>
      <c r="AO31" s="1188">
        <f>IF(ISNUMBER((NºAsuntos!C31+NºAsuntos!E31)/NºAsuntos!G31),(NºAsuntos!C31+NºAsuntos!E31)/NºAsuntos!G31," - ")</f>
        <v>1.9607492169021288</v>
      </c>
      <c r="AP31" s="1189" t="str">
        <f t="shared" si="2"/>
        <v xml:space="preserve"> - </v>
      </c>
      <c r="AQ31" s="1190">
        <f>IF(OR(ISNUMBER(FIND("01",Criterios!A8,1)),ISNUMBER(FIND("02",Criterios!A8,1)),ISNUMBER(FIND("03",Criterios!A8,1)),ISNUMBER(FIND("04",Criterios!A8,1))),(I31-W31+K31)/(F31-K31),(H31-W31+K31)/(F31-K31))</f>
        <v>-1.8930841841649009</v>
      </c>
      <c r="AR31" s="1191">
        <f>IF(ISNUMBER((Datos!P31-Datos!Q31)/(Datos!R31-Datos!P31+Datos!Q31)),(Datos!P31-Datos!Q31)/(Datos!R31-Datos!P31+Datos!Q31)," - ")</f>
        <v>-4.1639285500925979E-2</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343</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1455.75</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344</v>
      </c>
      <c r="D33" s="385"/>
      <c r="E33" s="308">
        <f>IF(ISNUMBER(STDEV(E8:E30)),STDEV(E8:E30),"-")</f>
        <v>4.2564021267177621</v>
      </c>
      <c r="F33" s="276">
        <f>IF(ISNUMBER(STDEV(F8:F30)),STDEV(F8:F30),"-")</f>
        <v>1995.9584521871047</v>
      </c>
      <c r="G33" s="277">
        <f>IF(ISNUMBER(STDEV(G8:G30)),STDEV(G8:G30),"-")</f>
        <v>2120.3694253596473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3915.8323234932168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1030.4732461889105</v>
      </c>
      <c r="AJ33" s="276">
        <f t="shared" si="24"/>
        <v>0</v>
      </c>
      <c r="AK33" s="278">
        <f t="shared" si="24"/>
        <v>0</v>
      </c>
      <c r="AL33" s="273">
        <f t="shared" si="24"/>
        <v>0.19723437234316879</v>
      </c>
      <c r="AM33" s="274">
        <f t="shared" si="24"/>
        <v>15.025722898664814</v>
      </c>
      <c r="AN33" s="274">
        <f t="shared" si="24"/>
        <v>0.28938382130367463</v>
      </c>
      <c r="AO33" s="275">
        <f t="shared" si="24"/>
        <v>1.3242897120050718</v>
      </c>
      <c r="AP33" s="317" t="str">
        <f t="shared" si="24"/>
        <v>-</v>
      </c>
      <c r="AQ33" s="318">
        <f t="shared" si="24"/>
        <v>1.1224451592690514</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548</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341</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342</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05 abr. 2022</v>
      </c>
      <c r="D42" s="130"/>
    </row>
    <row r="44" spans="1:51">
      <c r="C44" s="1"/>
      <c r="D44" s="1"/>
    </row>
  </sheetData>
  <sheetProtection algorithmName="SHA-512" hashValue="8p39ClziEPEZKdrRa8PmBlKS8VPd+Y6et4/Fn7NTtjm9rfxBPBEVkvutLq6Mgw1ysdNQ/Pye/vwCkWgpuWrAMQ==" saltValue="PdtrMLRmozbXSbfq9Q4crQ==" spinCount="100000" sheet="1" objects="1" scenarios="1"/>
  <mergeCells count="62">
    <mergeCell ref="AA5:AA7"/>
    <mergeCell ref="AC5:AC7"/>
    <mergeCell ref="W5:W7"/>
    <mergeCell ref="X5:X7"/>
    <mergeCell ref="AD5:AD7"/>
    <mergeCell ref="AB5:AB7"/>
    <mergeCell ref="Y5:Y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BL6:BL7"/>
    <mergeCell ref="BI5:BJ5"/>
    <mergeCell ref="BK5:BL5"/>
    <mergeCell ref="BJ6:BJ7"/>
    <mergeCell ref="BI6:BI7"/>
    <mergeCell ref="BK6:BK7"/>
    <mergeCell ref="AS5:AS7"/>
    <mergeCell ref="AO5:AO7"/>
    <mergeCell ref="AV5:AV7"/>
    <mergeCell ref="AN5:AN7"/>
    <mergeCell ref="AT5:AT7"/>
    <mergeCell ref="AR5:AR7"/>
  </mergeCells>
  <phoneticPr fontId="0" type="noConversion"/>
  <conditionalFormatting sqref="F9:G9 F10:F13 F16:F22 F25 F28:F29">
    <cfRule type="expression" dxfId="2978" priority="302" stopIfTrue="1">
      <formula>IF(F9&lt;&gt;G9,TRUE,FALSE)</formula>
    </cfRule>
  </conditionalFormatting>
  <conditionalFormatting sqref="E25 E9:E13 E28:E29 E16:E22">
    <cfRule type="cellIs" dxfId="2977" priority="248" stopIfTrue="1" operator="notBetween">
      <formula>$E$37</formula>
      <formula>$E$38</formula>
    </cfRule>
  </conditionalFormatting>
  <conditionalFormatting sqref="G28:G29 G25 G10:G13 G16:G22">
    <cfRule type="cellIs" dxfId="2976" priority="304" stopIfTrue="1" operator="between">
      <formula>$G$37</formula>
      <formula>$G$38</formula>
    </cfRule>
  </conditionalFormatting>
  <conditionalFormatting sqref="W28:W29 W25 W9:W13 W16:W22">
    <cfRule type="cellIs" dxfId="2975" priority="306" stopIfTrue="1" operator="notBetween">
      <formula>$W$37</formula>
      <formula>$W$38</formula>
    </cfRule>
  </conditionalFormatting>
  <conditionalFormatting sqref="AF25 AF28:AF29 AF9:AF13 AF16:AF22">
    <cfRule type="cellIs" dxfId="2974" priority="307" stopIfTrue="1" operator="notBetween">
      <formula>$AF$37</formula>
      <formula>$AF$38</formula>
    </cfRule>
  </conditionalFormatting>
  <conditionalFormatting sqref="AI25 AI9:AI13 AI29 AI16:AI22">
    <cfRule type="cellIs" dxfId="2973" priority="309" stopIfTrue="1" operator="notBetween">
      <formula>$AI$37</formula>
      <formula>$AI$38</formula>
    </cfRule>
  </conditionalFormatting>
  <conditionalFormatting sqref="AE25 AE9:AE13 AE28:AE29 AE16:AE22">
    <cfRule type="cellIs" dxfId="2972" priority="310" stopIfTrue="1" operator="notBetween">
      <formula>$AE$37</formula>
      <formula>$AE$38</formula>
    </cfRule>
  </conditionalFormatting>
  <conditionalFormatting sqref="AJ25 AJ28:AJ29 AJ9:AJ13 AJ16:AJ22">
    <cfRule type="cellIs" dxfId="2971" priority="311" stopIfTrue="1" operator="notBetween">
      <formula>$AJ$37</formula>
      <formula>$AJ$38</formula>
    </cfRule>
  </conditionalFormatting>
  <conditionalFormatting sqref="AL25 AL28:AL29 AL9:AL13 AL16:AL22">
    <cfRule type="cellIs" dxfId="2970" priority="313" stopIfTrue="1" operator="notBetween">
      <formula>$AL$37</formula>
      <formula>$AL$38</formula>
    </cfRule>
  </conditionalFormatting>
  <conditionalFormatting sqref="AM25 AM9:AM13 AM28:AM29 AM16:AM22">
    <cfRule type="cellIs" dxfId="2969" priority="317" stopIfTrue="1" operator="notBetween">
      <formula>$AM$37</formula>
      <formula>$AM$38</formula>
    </cfRule>
  </conditionalFormatting>
  <conditionalFormatting sqref="AN25 AN9:AN13 AN28:AN29 AN16:AN22">
    <cfRule type="cellIs" dxfId="2968" priority="318" stopIfTrue="1" operator="notBetween">
      <formula>$AN$37</formula>
      <formula>$AN$38</formula>
    </cfRule>
  </conditionalFormatting>
  <conditionalFormatting sqref="AO25 AO9:AO13 AO28:AO29 AO16:AO22">
    <cfRule type="cellIs" dxfId="2967" priority="319" stopIfTrue="1" operator="notBetween">
      <formula>$AO$37</formula>
      <formula>$AO$38</formula>
    </cfRule>
  </conditionalFormatting>
  <conditionalFormatting sqref="F16:F22 F9:F13 F25 F28:F29">
    <cfRule type="cellIs" dxfId="2966" priority="321" stopIfTrue="1" operator="notBetween">
      <formula>$F$37</formula>
      <formula>$F$38</formula>
    </cfRule>
  </conditionalFormatting>
  <conditionalFormatting sqref="AP25 AP28:AP29 AP9:AP13 AP16:AP22">
    <cfRule type="cellIs" dxfId="2965" priority="253" stopIfTrue="1" operator="notBetween">
      <formula>$AP$37</formula>
      <formula>$AP$38</formula>
    </cfRule>
  </conditionalFormatting>
  <conditionalFormatting sqref="AQ9:AQ13 AQ16:AQ22 AQ25 AQ28:AQ29">
    <cfRule type="cellIs" dxfId="2964" priority="250" stopIfTrue="1" operator="notBetween">
      <formula>$AQ$37</formula>
      <formula>$AQ$38</formula>
    </cfRule>
  </conditionalFormatting>
  <conditionalFormatting sqref="AS16:AS22 AS9:AS13 AS25 AS28:AS29">
    <cfRule type="cellIs" dxfId="2963" priority="249" stopIfTrue="1" operator="notBetween">
      <formula>$AS$37</formula>
      <formula>$AS$38</formula>
    </cfRule>
  </conditionalFormatting>
  <conditionalFormatting sqref="AR25 AR9:AR13 AR28:AR29 AR16:AR22">
    <cfRule type="cellIs" dxfId="2962" priority="376" stopIfTrue="1" operator="notBetween">
      <formula>$AR$37</formula>
      <formula>$AR$38</formula>
    </cfRule>
  </conditionalFormatting>
  <conditionalFormatting sqref="AV25 AV9:AV13 AV28:AV29 AV16:AV22">
    <cfRule type="cellIs" dxfId="2961" priority="377" stopIfTrue="1" operator="notBetween">
      <formula>$AV$37</formula>
      <formula>$AV$38</formula>
    </cfRule>
  </conditionalFormatting>
  <conditionalFormatting sqref="BE9:BL13 BE25:BL25 BE16:BL22 BE28:BL29">
    <cfRule type="cellIs" dxfId="2960" priority="757" stopIfTrue="1" operator="equal">
      <formula>$A$43</formula>
    </cfRule>
  </conditionalFormatting>
  <conditionalFormatting sqref="BE8:BL8 BE14:BL15 BE23:BL24 BE30:BL31 BE26:BL27">
    <cfRule type="cellIs" dxfId="2959" priority="758" stopIfTrue="1" operator="equal">
      <formula>$A$43</formula>
    </cfRule>
  </conditionalFormatting>
  <conditionalFormatting sqref="N12">
    <cfRule type="cellIs" dxfId="2958" priority="768" stopIfTrue="1" operator="greaterThan">
      <formula>$BF$12</formula>
    </cfRule>
    <cfRule type="cellIs" dxfId="2957" priority="769" stopIfTrue="1" operator="lessThan">
      <formula>$BE$12</formula>
    </cfRule>
  </conditionalFormatting>
  <conditionalFormatting sqref="H21">
    <cfRule type="cellIs" dxfId="2956" priority="792" stopIfTrue="1" operator="greaterThan">
      <formula>$BF$21</formula>
    </cfRule>
    <cfRule type="cellIs" dxfId="2955" priority="793" stopIfTrue="1" operator="lessThan">
      <formula>$BE$21</formula>
    </cfRule>
  </conditionalFormatting>
  <conditionalFormatting sqref="I21">
    <cfRule type="cellIs" dxfId="2954" priority="872" stopIfTrue="1" operator="greaterThan">
      <formula>$BH$21</formula>
    </cfRule>
    <cfRule type="cellIs" dxfId="2953" priority="873" stopIfTrue="1" operator="lessThan">
      <formula>$BG$21</formula>
    </cfRule>
  </conditionalFormatting>
  <conditionalFormatting sqref="J21">
    <cfRule type="cellIs" dxfId="2952" priority="950" stopIfTrue="1" operator="greaterThan">
      <formula>$BJ$21</formula>
    </cfRule>
    <cfRule type="cellIs" dxfId="2951" priority="951" stopIfTrue="1" operator="lessThan">
      <formula>$BI$21</formula>
    </cfRule>
  </conditionalFormatting>
  <conditionalFormatting sqref="N9">
    <cfRule type="cellIs" dxfId="2950" priority="1264" stopIfTrue="1" operator="greaterThan">
      <formula>$BL$9</formula>
    </cfRule>
    <cfRule type="cellIs" dxfId="2949" priority="1265" stopIfTrue="1" operator="lessThan">
      <formula>$BK$9</formula>
    </cfRule>
  </conditionalFormatting>
  <conditionalFormatting sqref="N10">
    <cfRule type="cellIs" dxfId="2948" priority="1268" stopIfTrue="1" operator="greaterThan">
      <formula>$BL$10</formula>
    </cfRule>
    <cfRule type="cellIs" dxfId="2947" priority="1269" stopIfTrue="1" operator="lessThan">
      <formula>$BK$10</formula>
    </cfRule>
  </conditionalFormatting>
  <conditionalFormatting sqref="N11">
    <cfRule type="cellIs" dxfId="2946" priority="1272" stopIfTrue="1" operator="greaterThan">
      <formula>$BL$11</formula>
    </cfRule>
    <cfRule type="cellIs" dxfId="2945" priority="1273" stopIfTrue="1" operator="lessThan">
      <formula>$BK$11</formula>
    </cfRule>
  </conditionalFormatting>
  <conditionalFormatting sqref="N13">
    <cfRule type="cellIs" dxfId="2944" priority="1276" stopIfTrue="1" operator="greaterThan">
      <formula>$BL$13</formula>
    </cfRule>
    <cfRule type="cellIs" dxfId="2943" priority="1277" stopIfTrue="1" operator="lessThan">
      <formula>$BK$13</formula>
    </cfRule>
  </conditionalFormatting>
  <conditionalFormatting sqref="N16">
    <cfRule type="cellIs" dxfId="2942" priority="1288" stopIfTrue="1" operator="greaterThan">
      <formula>$BL$16</formula>
    </cfRule>
    <cfRule type="cellIs" dxfId="2941" priority="1289" stopIfTrue="1" operator="lessThan">
      <formula>$BK$16</formula>
    </cfRule>
  </conditionalFormatting>
  <conditionalFormatting sqref="N20">
    <cfRule type="cellIs" dxfId="2940" priority="1294" stopIfTrue="1" operator="greaterThan">
      <formula>$BL$20</formula>
    </cfRule>
    <cfRule type="cellIs" dxfId="2939" priority="1295" stopIfTrue="1" operator="lessThan">
      <formula>$BK$20</formula>
    </cfRule>
  </conditionalFormatting>
  <conditionalFormatting sqref="N21">
    <cfRule type="cellIs" dxfId="2938" priority="1296" stopIfTrue="1" operator="greaterThan">
      <formula>$BL$21</formula>
    </cfRule>
    <cfRule type="cellIs" dxfId="2937" priority="1297" stopIfTrue="1" operator="lessThan">
      <formula>$BK$21</formula>
    </cfRule>
  </conditionalFormatting>
  <conditionalFormatting sqref="N22">
    <cfRule type="cellIs" dxfId="2936" priority="1298" stopIfTrue="1" operator="greaterThan">
      <formula>$BL$22</formula>
    </cfRule>
    <cfRule type="cellIs" dxfId="2935" priority="1299" stopIfTrue="1" operator="lessThan">
      <formula>$BK$22</formula>
    </cfRule>
  </conditionalFormatting>
  <conditionalFormatting sqref="N25">
    <cfRule type="cellIs" dxfId="2934" priority="1318" stopIfTrue="1" operator="greaterThan">
      <formula>$BL$25</formula>
    </cfRule>
    <cfRule type="cellIs" dxfId="2933" priority="1319" stopIfTrue="1" operator="lessThan">
      <formula>$BK$25</formula>
    </cfRule>
  </conditionalFormatting>
  <conditionalFormatting sqref="N28">
    <cfRule type="cellIs" dxfId="2932" priority="1328" stopIfTrue="1" operator="greaterThan">
      <formula>$BL$28</formula>
    </cfRule>
    <cfRule type="cellIs" dxfId="2931" priority="1329" stopIfTrue="1" operator="lessThan">
      <formula>$BK$28</formula>
    </cfRule>
  </conditionalFormatting>
  <conditionalFormatting sqref="N29">
    <cfRule type="cellIs" dxfId="2930" priority="1330" stopIfTrue="1" operator="greaterThan">
      <formula>$BL$29</formula>
    </cfRule>
    <cfRule type="cellIs" dxfId="2929" priority="1331" stopIfTrue="1" operator="lessThan">
      <formula>$BK$29</formula>
    </cfRule>
  </conditionalFormatting>
  <conditionalFormatting sqref="L25 L9:L13 L28:L29 L16:L22">
    <cfRule type="cellIs" dxfId="2928" priority="1342" stopIfTrue="1" operator="notBetween">
      <formula>$L$37</formula>
      <formula>$L$38</formula>
    </cfRule>
  </conditionalFormatting>
  <conditionalFormatting sqref="M25 M9:M13 M28:M29 M16:M22">
    <cfRule type="cellIs" dxfId="2927" priority="1343" stopIfTrue="1" operator="notBetween">
      <formula>$M$37</formula>
      <formula>$M$38</formula>
    </cfRule>
  </conditionalFormatting>
  <conditionalFormatting sqref="P25:Q25 P28:Q29 P9:Q13 Q16:Q22">
    <cfRule type="cellIs" dxfId="2926" priority="1344" stopIfTrue="1" operator="notBetween">
      <formula>$Q$37</formula>
      <formula>$Q$38</formula>
    </cfRule>
  </conditionalFormatting>
  <conditionalFormatting sqref="R25 R9:R13 R28:R29 R16:R22">
    <cfRule type="cellIs" dxfId="2925" priority="1345" stopIfTrue="1" operator="notBetween">
      <formula>$R$37</formula>
      <formula>$R$38</formula>
    </cfRule>
  </conditionalFormatting>
  <conditionalFormatting sqref="S25 S28:S29 S9:S13 S16:S22">
    <cfRule type="cellIs" dxfId="2924" priority="1346" stopIfTrue="1" operator="notBetween">
      <formula>$S$37</formula>
      <formula>$S$38</formula>
    </cfRule>
  </conditionalFormatting>
  <conditionalFormatting sqref="T25 T28:T29 T9:T13 T16:T22">
    <cfRule type="cellIs" dxfId="2923" priority="1347" stopIfTrue="1" operator="notBetween">
      <formula>$T$37</formula>
      <formula>$T$38</formula>
    </cfRule>
  </conditionalFormatting>
  <conditionalFormatting sqref="X25 X9:X13 X28:X29 X16:X22">
    <cfRule type="cellIs" dxfId="2922" priority="1349" stopIfTrue="1" operator="notBetween">
      <formula>$X$37</formula>
      <formula>$X$38</formula>
    </cfRule>
  </conditionalFormatting>
  <conditionalFormatting sqref="Y25 Y9:Y13 Y28:Y29 Y16:Y22">
    <cfRule type="cellIs" dxfId="2921" priority="1350" stopIfTrue="1" operator="notBetween">
      <formula>$Y$37</formula>
      <formula>$Y$38</formula>
    </cfRule>
  </conditionalFormatting>
  <conditionalFormatting sqref="AB25 AB9:AB13 AB28:AB29 AB16:AB22">
    <cfRule type="cellIs" dxfId="2920" priority="1351" stopIfTrue="1" operator="notBetween">
      <formula>$AB$37</formula>
      <formula>$AB$38</formula>
    </cfRule>
  </conditionalFormatting>
  <conditionalFormatting sqref="AD25 AD9:AD13 AD28:AD29 AD16:AD22">
    <cfRule type="cellIs" dxfId="2919" priority="1352" stopIfTrue="1" operator="notBetween">
      <formula>$AD$37</formula>
      <formula>$AD$38</formula>
    </cfRule>
  </conditionalFormatting>
  <conditionalFormatting sqref="AH25 AH9:AH13 AH28:AH29 AH16:AH22">
    <cfRule type="cellIs" dxfId="2918" priority="1353" stopIfTrue="1" operator="notBetween">
      <formula>$AH$37</formula>
      <formula>$AH$38</formula>
    </cfRule>
  </conditionalFormatting>
  <conditionalFormatting sqref="AK25 AK9:AK13 AK28:AK29 AK16:AK22">
    <cfRule type="cellIs" dxfId="2917" priority="1354" stopIfTrue="1" operator="notBetween">
      <formula>$AK$37</formula>
      <formula>$AK$38</formula>
    </cfRule>
  </conditionalFormatting>
  <conditionalFormatting sqref="AT25 AT9:AT13 AT28:AT29 AT16:AT22">
    <cfRule type="cellIs" dxfId="2916" priority="1355" stopIfTrue="1" operator="notBetween">
      <formula>$AT$37</formula>
      <formula>$AT$38</formula>
    </cfRule>
  </conditionalFormatting>
  <conditionalFormatting sqref="AU25 AU9:AU13 AU28:AU29 AU16:AU22">
    <cfRule type="cellIs" dxfId="2915" priority="1356" stopIfTrue="1" operator="notBetween">
      <formula>$AU$37</formula>
      <formula>$AU$38</formula>
    </cfRule>
  </conditionalFormatting>
  <conditionalFormatting sqref="Z25 Z9:Z13 Z28:Z29 Z16:Z22">
    <cfRule type="cellIs" dxfId="2914" priority="1357" stopIfTrue="1" operator="notBetween">
      <formula>$Z$37</formula>
      <formula>$Z$38</formula>
    </cfRule>
  </conditionalFormatting>
  <conditionalFormatting sqref="AA25 AA28:AA29 AA9:AA13 AA16:AA22">
    <cfRule type="cellIs" dxfId="2913" priority="1358" stopIfTrue="1" operator="notBetween">
      <formula>$AA$37</formula>
      <formula>$AA$38</formula>
    </cfRule>
  </conditionalFormatting>
  <conditionalFormatting sqref="AC25 AC9:AC13 AC28:AC29 AC16:AC22">
    <cfRule type="cellIs" dxfId="2912" priority="1359" stopIfTrue="1" operator="notBetween">
      <formula>$AC$37</formula>
      <formula>$AC$38</formula>
    </cfRule>
  </conditionalFormatting>
  <conditionalFormatting sqref="AG25 AG9:AG13 AG28:AG29 AG16:AG22">
    <cfRule type="cellIs" dxfId="2911" priority="1718" stopIfTrue="1" operator="notBetween">
      <formula>$AG$37</formula>
      <formula>$AG$38</formula>
    </cfRule>
  </conditionalFormatting>
  <conditionalFormatting sqref="N18">
    <cfRule type="cellIs" dxfId="2910" priority="154" stopIfTrue="1" operator="greaterThan">
      <formula>$BL$18</formula>
    </cfRule>
    <cfRule type="cellIs" dxfId="2909" priority="155" stopIfTrue="1" operator="lessThan">
      <formula>$BK$18</formula>
    </cfRule>
  </conditionalFormatting>
  <conditionalFormatting sqref="N19">
    <cfRule type="cellIs" dxfId="2908" priority="152" stopIfTrue="1" operator="greaterThan">
      <formula>$BL$19</formula>
    </cfRule>
    <cfRule type="cellIs" dxfId="2907" priority="153" stopIfTrue="1" operator="lessThan">
      <formula>$BK$19</formula>
    </cfRule>
  </conditionalFormatting>
  <conditionalFormatting sqref="V16:V22 V9:V13">
    <cfRule type="cellIs" dxfId="2906" priority="142" stopIfTrue="1" operator="notBetween">
      <formula>$V$37</formula>
      <formula>$V$38</formula>
    </cfRule>
  </conditionalFormatting>
  <conditionalFormatting sqref="V25">
    <cfRule type="cellIs" dxfId="2905" priority="141" stopIfTrue="1" operator="notBetween">
      <formula>$V$37</formula>
      <formula>$V$38</formula>
    </cfRule>
  </conditionalFormatting>
  <conditionalFormatting sqref="V28:V29">
    <cfRule type="cellIs" dxfId="2904" priority="140" stopIfTrue="1" operator="notBetween">
      <formula>$V$37</formula>
      <formula>$V$38</formula>
    </cfRule>
  </conditionalFormatting>
  <conditionalFormatting sqref="N10">
    <cfRule type="cellIs" dxfId="2903" priority="136" stopIfTrue="1" operator="greaterThan">
      <formula>#REF!</formula>
    </cfRule>
    <cfRule type="cellIs" dxfId="2902" priority="137" stopIfTrue="1" operator="lessThan">
      <formula>#REF!</formula>
    </cfRule>
  </conditionalFormatting>
  <conditionalFormatting sqref="N13">
    <cfRule type="cellIs" dxfId="2901" priority="134" stopIfTrue="1" operator="greaterThan">
      <formula>#REF!</formula>
    </cfRule>
    <cfRule type="cellIs" dxfId="2900" priority="135" stopIfTrue="1" operator="lessThan">
      <formula>#REF!</formula>
    </cfRule>
  </conditionalFormatting>
  <conditionalFormatting sqref="N22">
    <cfRule type="cellIs" dxfId="2899" priority="128" stopIfTrue="1" operator="greaterThan">
      <formula>$BL$16</formula>
    </cfRule>
    <cfRule type="cellIs" dxfId="2898" priority="129" stopIfTrue="1" operator="lessThan">
      <formula>$BK$16</formula>
    </cfRule>
  </conditionalFormatting>
  <conditionalFormatting sqref="N18:N20">
    <cfRule type="cellIs" dxfId="2897" priority="126" stopIfTrue="1" operator="greaterThan">
      <formula>$BL$16</formula>
    </cfRule>
    <cfRule type="cellIs" dxfId="2896" priority="127" stopIfTrue="1" operator="lessThan">
      <formula>$BK$16</formula>
    </cfRule>
  </conditionalFormatting>
  <conditionalFormatting sqref="N25">
    <cfRule type="cellIs" dxfId="2895" priority="124" stopIfTrue="1" operator="greaterThan">
      <formula>$BL$16</formula>
    </cfRule>
    <cfRule type="cellIs" dxfId="2894" priority="125" stopIfTrue="1" operator="lessThan">
      <formula>$BK$16</formula>
    </cfRule>
  </conditionalFormatting>
  <conditionalFormatting sqref="N28:N29">
    <cfRule type="cellIs" dxfId="2893" priority="122" stopIfTrue="1" operator="greaterThan">
      <formula>$BL$25</formula>
    </cfRule>
    <cfRule type="cellIs" dxfId="2892" priority="123" stopIfTrue="1" operator="lessThan">
      <formula>$BK$25</formula>
    </cfRule>
  </conditionalFormatting>
  <conditionalFormatting sqref="N28:N29">
    <cfRule type="cellIs" dxfId="2891" priority="120" stopIfTrue="1" operator="greaterThan">
      <formula>$BL$16</formula>
    </cfRule>
    <cfRule type="cellIs" dxfId="2890" priority="121" stopIfTrue="1" operator="lessThan">
      <formula>$BK$16</formula>
    </cfRule>
  </conditionalFormatting>
  <conditionalFormatting sqref="N11:N12">
    <cfRule type="cellIs" dxfId="2889" priority="110" stopIfTrue="1" operator="greaterThan">
      <formula>$BL$9</formula>
    </cfRule>
    <cfRule type="cellIs" dxfId="2888" priority="111" stopIfTrue="1" operator="lessThan">
      <formula>$BK$9</formula>
    </cfRule>
  </conditionalFormatting>
  <conditionalFormatting sqref="P16:P22">
    <cfRule type="cellIs" dxfId="2887" priority="108" stopIfTrue="1" operator="notBetween">
      <formula>$Q$37</formula>
      <formula>$Q$38</formula>
    </cfRule>
  </conditionalFormatting>
  <conditionalFormatting sqref="P17">
    <cfRule type="cellIs" dxfId="2886" priority="107" stopIfTrue="1" operator="notBetween">
      <formula>$Q$37</formula>
      <formula>$Q$38</formula>
    </cfRule>
  </conditionalFormatting>
  <conditionalFormatting sqref="N17">
    <cfRule type="cellIs" dxfId="2885" priority="784" stopIfTrue="1" operator="greaterThan">
      <formula>$BF$17</formula>
    </cfRule>
    <cfRule type="cellIs" dxfId="2884" priority="785" stopIfTrue="1" operator="lessThan">
      <formula>$BE$17</formula>
    </cfRule>
  </conditionalFormatting>
  <conditionalFormatting sqref="O17">
    <cfRule type="cellIs" dxfId="2883" priority="91" stopIfTrue="1" operator="lessThan">
      <formula>$BK$17</formula>
    </cfRule>
    <cfRule type="cellIs" dxfId="2882" priority="92" stopIfTrue="1" operator="greaterThan">
      <formula>$BL$17</formula>
    </cfRule>
  </conditionalFormatting>
  <conditionalFormatting sqref="O12">
    <cfRule type="expression" dxfId="2881" priority="1720" stopIfTrue="1">
      <formula>$O$12&lt;$BK$12</formula>
    </cfRule>
    <cfRule type="expression" dxfId="2880" priority="1721" stopIfTrue="1">
      <formula>$O$12&gt;$BL$12</formula>
    </cfRule>
  </conditionalFormatting>
  <conditionalFormatting sqref="O10">
    <cfRule type="expression" dxfId="2879" priority="81" stopIfTrue="1">
      <formula>$O$12&lt;$BK$12</formula>
    </cfRule>
    <cfRule type="expression" dxfId="2878" priority="82" stopIfTrue="1">
      <formula>$O$12&gt;$BL$12</formula>
    </cfRule>
  </conditionalFormatting>
  <conditionalFormatting sqref="O18">
    <cfRule type="cellIs" dxfId="2877" priority="79" stopIfTrue="1" operator="lessThan">
      <formula>$BK$17</formula>
    </cfRule>
    <cfRule type="cellIs" dxfId="2876" priority="80" stopIfTrue="1" operator="greaterThan">
      <formula>$BL$17</formula>
    </cfRule>
  </conditionalFormatting>
  <conditionalFormatting sqref="H11">
    <cfRule type="cellIs" dxfId="2875" priority="71" stopIfTrue="1" operator="greaterThan">
      <formula>$BF$11</formula>
    </cfRule>
    <cfRule type="cellIs" dxfId="2874" priority="72" stopIfTrue="1" operator="lessThan">
      <formula>$BE$11</formula>
    </cfRule>
  </conditionalFormatting>
  <conditionalFormatting sqref="H12">
    <cfRule type="cellIs" dxfId="2873" priority="69" stopIfTrue="1" operator="greaterThan">
      <formula>$BF$12</formula>
    </cfRule>
    <cfRule type="cellIs" dxfId="2872" priority="70" stopIfTrue="1" operator="lessThan">
      <formula>$BE$12</formula>
    </cfRule>
  </conditionalFormatting>
  <conditionalFormatting sqref="AI28">
    <cfRule type="cellIs" dxfId="2871"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VILANOVA I LA GELTRU</v>
      </c>
      <c r="E4" s="287"/>
    </row>
    <row r="5" spans="2:20" ht="12.75" customHeight="1">
      <c r="B5" s="297"/>
      <c r="C5" s="1645" t="str">
        <f>"Año:  " &amp;Criterios!B5 &amp; "          Trimestre   " &amp;Criterios!D5 &amp; " al " &amp;Criterios!D6</f>
        <v>Año:  2021          Trimestre   1 al 4</v>
      </c>
      <c r="D5" s="1633" t="s">
        <v>176</v>
      </c>
      <c r="E5" s="1675" t="s">
        <v>18</v>
      </c>
      <c r="F5" s="1672" t="s">
        <v>14</v>
      </c>
      <c r="G5" s="1669" t="s">
        <v>177</v>
      </c>
      <c r="H5" s="1666" t="s">
        <v>12</v>
      </c>
      <c r="I5" s="1630" t="s">
        <v>167</v>
      </c>
      <c r="J5" s="1659" t="s">
        <v>168</v>
      </c>
      <c r="K5" s="1621" t="s">
        <v>169</v>
      </c>
      <c r="M5" s="175"/>
      <c r="N5" s="183" t="s">
        <v>356</v>
      </c>
      <c r="O5" s="175"/>
      <c r="P5" s="175"/>
      <c r="Q5" s="184" t="s">
        <v>357</v>
      </c>
      <c r="R5" s="184"/>
      <c r="S5" s="182"/>
      <c r="T5" s="182"/>
    </row>
    <row r="6" spans="2:20" ht="12.75" customHeight="1">
      <c r="B6" s="298"/>
      <c r="C6" s="1646"/>
      <c r="D6" s="1634"/>
      <c r="E6" s="1676"/>
      <c r="F6" s="1673"/>
      <c r="G6" s="1670"/>
      <c r="H6" s="1667"/>
      <c r="I6" s="1631"/>
      <c r="J6" s="1660"/>
      <c r="K6" s="1622"/>
      <c r="M6" s="1662" t="s">
        <v>372</v>
      </c>
      <c r="N6" s="1662" t="s">
        <v>353</v>
      </c>
      <c r="O6" s="1662" t="s">
        <v>354</v>
      </c>
      <c r="P6" s="1662" t="s">
        <v>355</v>
      </c>
      <c r="Q6" s="1662" t="s">
        <v>372</v>
      </c>
      <c r="R6" s="1662" t="s">
        <v>353</v>
      </c>
      <c r="S6" s="1662" t="s">
        <v>354</v>
      </c>
      <c r="T6" s="1662" t="s">
        <v>355</v>
      </c>
    </row>
    <row r="7" spans="2:20" ht="23.25" customHeight="1" thickBot="1">
      <c r="B7" s="299"/>
      <c r="C7" s="288" t="str">
        <f>Datos!A7</f>
        <v>COMPETENCIAS</v>
      </c>
      <c r="D7" s="1678"/>
      <c r="E7" s="1677"/>
      <c r="F7" s="1674"/>
      <c r="G7" s="1671"/>
      <c r="H7" s="1668"/>
      <c r="I7" s="1679"/>
      <c r="J7" s="1663"/>
      <c r="K7" s="1664"/>
      <c r="M7" s="1662"/>
      <c r="N7" s="1662"/>
      <c r="O7" s="1662"/>
      <c r="P7" s="1662"/>
      <c r="Q7" s="1662"/>
      <c r="R7" s="1662"/>
      <c r="S7" s="1662"/>
      <c r="T7" s="1662"/>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323</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t="str">
        <f>IF(ISNUMBER((Datos!M9-Datos!W9)/Datos!W9),(Datos!M9-Datos!W9)/Datos!W9," - ")</f>
        <v xml:space="preserve"> - </v>
      </c>
      <c r="I9" s="396" t="str">
        <f>IF(ISNUMBER((Tasas!C9-Datos!BE9)/Datos!BE9),(Tasas!C9-Datos!BE9)/Datos!BE9," - ")</f>
        <v xml:space="preserve"> - </v>
      </c>
      <c r="J9" s="395" t="str">
        <f>IF(ISNUMBER((Tasas!D9-Datos!BF9)/Datos!BF9),(Tasas!D9-Datos!BF9)/Datos!BF9," - ")</f>
        <v xml:space="preserve"> - </v>
      </c>
      <c r="K9" s="397"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323</v>
      </c>
      <c r="C10" s="7" t="str">
        <f>Datos!A10</f>
        <v>Jdos. Violencia contra la mujer</v>
      </c>
      <c r="D10" s="398">
        <f>IF(ISNUMBER((Datos!I10-Datos!S10)/Datos!S10),(Datos!I10-Datos!S10)/Datos!S10," - ")</f>
        <v>0.80952380952380953</v>
      </c>
      <c r="E10" s="394">
        <f>IF(ISNUMBER((Datos!J10-Datos!T10)/Datos!T10),(Datos!J10-Datos!T10)/Datos!T10," - ")</f>
        <v>0.30434782608695654</v>
      </c>
      <c r="F10" s="394">
        <f>IF(ISNUMBER((Datos!K10-Datos!U10)/Datos!U10),(Datos!K10-Datos!U10)/Datos!U10," - ")</f>
        <v>1.0833333333333333</v>
      </c>
      <c r="G10" s="395">
        <f>IF(ISNUMBER((Datos!L10-Datos!V10)/Datos!V10),(Datos!L10-Datos!V10)/Datos!V10," - ")</f>
        <v>0.46052631578947367</v>
      </c>
      <c r="H10" s="244">
        <f>IF(ISNUMBER((Datos!M10-Datos!W10)/Datos!W10),(Datos!M10-Datos!W10)/Datos!W10," - ")</f>
        <v>9</v>
      </c>
      <c r="I10" s="396">
        <f>IF(ISNUMBER((Tasas!C10-Datos!BE10)/Datos!BE10),(Tasas!C10-Datos!BE10)/Datos!BE10," - ")</f>
        <v>-0.29894736842105252</v>
      </c>
      <c r="J10" s="395">
        <f>IF(ISNUMBER((Tasas!D10-Datos!BF10)/Datos!BF10),(Tasas!D10-Datos!BF10)/Datos!BF10," - ")</f>
        <v>3.8000000000000007</v>
      </c>
      <c r="K10" s="397">
        <f>IF(ISNUMBER((Tasas!E10-Datos!BG10)/Datos!BG10),(Tasas!E10-Datos!BG10)/Datos!BG10," - ")</f>
        <v>-0.25818181818181812</v>
      </c>
    </row>
    <row r="11" spans="2:20" ht="14.25">
      <c r="B11" s="300" t="s">
        <v>323</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t="str">
        <f>IF(ISNUMBER((Datos!M11-Datos!W11)/Datos!W11),(Datos!M11-Datos!W11)/Datos!W11," - ")</f>
        <v xml:space="preserve"> - </v>
      </c>
      <c r="I11" s="396" t="str">
        <f>IF(ISNUMBER((Tasas!C11-Datos!BE11)/Datos!BE11),(Tasas!C11-Datos!BE11)/Datos!BE11," - ")</f>
        <v xml:space="preserve"> - </v>
      </c>
      <c r="J11" s="395" t="str">
        <f>IF(ISNUMBER((Tasas!D11-Datos!BF11)/Datos!BF11),(Tasas!D11-Datos!BF11)/Datos!BF11," - ")</f>
        <v xml:space="preserve"> - </v>
      </c>
      <c r="K11" s="397"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323</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f>IF(ISNUMBER((Datos!M12-Datos!W12)/Datos!W12),(Datos!M12-Datos!W12)/Datos!W12," - ")</f>
        <v>0.27540106951871657</v>
      </c>
      <c r="I12" s="396">
        <f>IF(ISNUMBER((Tasas!C12-Datos!BE12)/Datos!BE12),(Tasas!C12-Datos!BE12)/Datos!BE12," - ")</f>
        <v>-7.8545736516130935E-2</v>
      </c>
      <c r="J12" s="395">
        <f>IF(ISNUMBER((Tasas!D12-Datos!BF12)/Datos!BF12),(Tasas!D12-Datos!BF12)/Datos!BF12," - ")</f>
        <v>-0.27281392229773282</v>
      </c>
      <c r="K12" s="397">
        <f>IF(ISNUMBER((Tasas!E12-Datos!BG12)/Datos!BG12),(Tasas!E12-Datos!BG12)/Datos!BG12," - ")</f>
        <v>-2.2458028020937951E-2</v>
      </c>
      <c r="M12" t="e">
        <f>IF(Monitorios="SI",Datos!CE12,0)</f>
        <v>#REF!</v>
      </c>
      <c r="N12" t="e">
        <f>IF(Monitorios="SI",Datos!CF12,0)</f>
        <v>#REF!</v>
      </c>
      <c r="O12" t="e">
        <f>IF(Monitorios="SI",Datos!CG12,0)</f>
        <v>#REF!</v>
      </c>
      <c r="P12" t="e">
        <f>IF(Monitorios="SI",Datos!CH12,0)</f>
        <v>#REF!</v>
      </c>
      <c r="Q12">
        <f>IF(J_V="SI",0,Datos!AG12)</f>
        <v>143</v>
      </c>
      <c r="R12">
        <f>IF(J_V="SI",0,Datos!AH12)</f>
        <v>208</v>
      </c>
      <c r="S12">
        <f>IF(J_V="SI",0,Datos!AI12)</f>
        <v>220</v>
      </c>
      <c r="T12">
        <f>IF(J_V="SI",0,Datos!AJ12)</f>
        <v>145</v>
      </c>
    </row>
    <row r="13" spans="2:20" ht="15" thickBot="1">
      <c r="B13" s="300" t="s">
        <v>323</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0.28317008014247552</v>
      </c>
      <c r="I14" s="403">
        <f>IF(ISNUMBER((Tasas!C14-Datos!BE14)/Datos!BE14),(Tasas!C14-Datos!BE14)/Datos!BE14," - ")</f>
        <v>-7.7973051792307554E-2</v>
      </c>
      <c r="J14" s="401">
        <f>IF(ISNUMBER((Tasas!D14-Datos!BF14)/Datos!BF14),(Tasas!D14-Datos!BF14)/Datos!BF14," - ")</f>
        <v>-0.26936284587387882</v>
      </c>
      <c r="K14" s="404">
        <f>IF(ISNUMBER((Tasas!E14-Datos!BG14)/Datos!BG14),(Tasas!E14-Datos!BG14)/Datos!BG14," - ")</f>
        <v>-2.2465059217318693E-2</v>
      </c>
      <c r="M14" t="e">
        <f>IF(Monitorios="SI",Datos!CE14,0)</f>
        <v>#REF!</v>
      </c>
      <c r="N14" t="e">
        <f>IF(Monitorios="SI",Datos!CF14,0)</f>
        <v>#REF!</v>
      </c>
      <c r="O14" t="e">
        <f>IF(Monitorios="SI",Datos!CG14,0)</f>
        <v>#REF!</v>
      </c>
      <c r="P14" t="e">
        <f>IF(Monitorios="SI",Datos!CH14,0)</f>
        <v>#REF!</v>
      </c>
      <c r="Q14">
        <f>IF(J_V="SI",0,Datos!AG14)</f>
        <v>143</v>
      </c>
      <c r="R14">
        <f>IF(J_V="SI",0,Datos!AH14)</f>
        <v>208</v>
      </c>
      <c r="S14">
        <f>IF(J_V="SI",0,Datos!AI14)</f>
        <v>220</v>
      </c>
      <c r="T14">
        <f>IF(J_V="SI",0,Datos!AJ14)</f>
        <v>145</v>
      </c>
    </row>
    <row r="15" spans="2:20" ht="15" thickTop="1">
      <c r="B15" s="192"/>
      <c r="C15" s="73" t="str">
        <f>Datos!A15</f>
        <v xml:space="preserve">Jurisdicción Penal ( 2 ):                      </v>
      </c>
      <c r="D15" s="269"/>
      <c r="E15" s="270"/>
      <c r="F15" s="270"/>
      <c r="G15" s="270"/>
      <c r="H15" s="295"/>
      <c r="I15" s="270"/>
      <c r="J15" s="270"/>
      <c r="K15" s="313"/>
    </row>
    <row r="16" spans="2:20" ht="14.25">
      <c r="B16" s="300" t="s">
        <v>514</v>
      </c>
      <c r="C16" s="7" t="str">
        <f>Datos!A16</f>
        <v xml:space="preserve">Jdos. Instrucción                               </v>
      </c>
      <c r="D16" s="398" t="str">
        <f>IF(ISNUMBER(
   IF(D_I="SI",(Datos!I16-Datos!S16)/Datos!S16,(Datos!I16+Datos!AC16-(Datos!S16+Datos!AK16))/(Datos!S16+Datos!AK16))
     ),IF(D_I="SI",(Datos!I16-Datos!S16)/Datos!S16,(Datos!I16+Datos!AC16-(Datos!S16+Datos!AK16))/(Datos!S16+Datos!AK16))," - ")</f>
        <v xml:space="preserve"> - </v>
      </c>
      <c r="E16" s="394" t="str">
        <f>IF(ISNUMBER(
   IF(D_I="SI",(Datos!J16-Datos!T16)/Datos!T16,(Datos!J16+Datos!AD16-(Datos!T16+Datos!AL16))/(Datos!T16+Datos!AL16))
     ),IF(D_I="SI",(Datos!J16-Datos!T16)/Datos!T16,(Datos!J16+Datos!AD16-(Datos!T16+Datos!AL16))/(Datos!T16+Datos!AL16))," - ")</f>
        <v xml:space="preserve"> - </v>
      </c>
      <c r="F16" s="394" t="str">
        <f>IF(ISNUMBER(
   IF(D_I="SI",(Datos!K16-Datos!U16)/Datos!U16,(Datos!K16+Datos!AE16-(Datos!U16+Datos!AM16))/(Datos!U16+Datos!AM16))
     ),IF(D_I="SI",(Datos!K16-Datos!U16)/Datos!U16,(Datos!K16+Datos!AE16-(Datos!U16+Datos!AM16))/(Datos!U16+Datos!AM16))," - ")</f>
        <v xml:space="preserve"> - </v>
      </c>
      <c r="G16" s="395"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6" t="str">
        <f>IF(ISNUMBER((Tasas!C16-Datos!BE16)/Datos!BE16),(Tasas!C16-Datos!BE16)/Datos!BE16," - ")</f>
        <v xml:space="preserve"> - </v>
      </c>
      <c r="J16" s="395" t="str">
        <f>IF(ISNUMBER((Tasas!D16-Datos!BF16)/Datos!BF16),(Tasas!D16-Datos!BF16)/Datos!BF16," - ")</f>
        <v xml:space="preserve"> - </v>
      </c>
      <c r="K16" s="397" t="str">
        <f>IF(ISNUMBER((Tasas!E16-Datos!BG16)/Datos!BG16),(Tasas!E16-Datos!BG16)/Datos!BG16," - ")</f>
        <v xml:space="preserve"> - </v>
      </c>
    </row>
    <row r="17" spans="2:20" ht="14.25">
      <c r="B17" s="300" t="s">
        <v>514</v>
      </c>
      <c r="C17" s="7" t="str">
        <f>Datos!A17</f>
        <v xml:space="preserve">Jdos. 1ª Instª. e Instr.                        </v>
      </c>
      <c r="D17" s="398">
        <f>IF(ISNUMBER(
   IF(D_I="SI",(Datos!I17-Datos!S17)/Datos!S17,(Datos!I17+Datos!AC17-(Datos!S17+Datos!AK17))/(Datos!S17+Datos!AK17))
     ),IF(D_I="SI",(Datos!I17-Datos!S17)/Datos!S17,(Datos!I17+Datos!AC17-(Datos!S17+Datos!AK17))/(Datos!S17+Datos!AK17))," - ")</f>
        <v>0.30431107354184278</v>
      </c>
      <c r="E17" s="394">
        <f>IF(ISNUMBER(
   IF(D_I="SI",(Datos!J17-Datos!T17)/Datos!T17,(Datos!J17+Datos!AD17-(Datos!T17+Datos!AL17))/(Datos!T17+Datos!AL17))
     ),IF(D_I="SI",(Datos!J17-Datos!T17)/Datos!T17,(Datos!J17+Datos!AD17-(Datos!T17+Datos!AL17))/(Datos!T17+Datos!AL17))," - ")</f>
        <v>3.3797952386826202E-2</v>
      </c>
      <c r="F17" s="394">
        <f>IF(ISNUMBER(
   IF(D_I="SI",(Datos!K17-Datos!U17)/Datos!U17,(Datos!K17+Datos!AE17-(Datos!U17+Datos!AM17))/(Datos!U17+Datos!AM17))
     ),IF(D_I="SI",(Datos!K17-Datos!U17)/Datos!U17,(Datos!K17+Datos!AE17-(Datos!U17+Datos!AM17))/(Datos!U17+Datos!AM17))," - ")</f>
        <v>5.3727333781061119E-4</v>
      </c>
      <c r="G17" s="395">
        <f>IF(ISNUMBER(
   IF(D_I="SI",(Datos!L17-Datos!V17)/Datos!V17,(Datos!L17+Datos!AF17-(Datos!V17+Datos!AN17))/(Datos!V17+Datos!AN17))
     ),IF(D_I="SI",(Datos!L17-Datos!V17)/Datos!V17,(Datos!L17+Datos!AF17-(Datos!V17+Datos!AN17))/(Datos!V17+Datos!AN17))," - ")</f>
        <v>0.17919637070641609</v>
      </c>
      <c r="H17" s="244">
        <f>IF(ISNUMBER((Datos!M17-Datos!W17)/Datos!W17),(Datos!M17-Datos!W17)/Datos!W17," - ")</f>
        <v>0.31450577663671375</v>
      </c>
      <c r="I17" s="396">
        <f>IF(ISNUMBER((Tasas!C17-Datos!BE17)/Datos!BE17),(Tasas!C17-Datos!BE17)/Datos!BE17," - ")</f>
        <v>0.17856316014354515</v>
      </c>
      <c r="J17" s="395">
        <f>IF(ISNUMBER((Tasas!D17-Datos!BF17)/Datos!BF17),(Tasas!D17-Datos!BF17)/Datos!BF17," - ")</f>
        <v>0.31379990697547766</v>
      </c>
      <c r="K17" s="397">
        <f>IF(ISNUMBER((Tasas!E17-Datos!BG17)/Datos!BG17),(Tasas!E17-Datos!BG17)/Datos!BG17," - ")</f>
        <v>9.4322772362488538E-2</v>
      </c>
    </row>
    <row r="18" spans="2:20" ht="14.25">
      <c r="B18" s="300" t="s">
        <v>514</v>
      </c>
      <c r="C18" s="7" t="str">
        <f>Datos!A18</f>
        <v>Jdos. Violencia contra la mujer</v>
      </c>
      <c r="D18" s="398">
        <f>IF(ISNUMBER(
   IF(D_I="SI",(Datos!I18-Datos!S18)/Datos!S18,(Datos!I18+Datos!AC18-(Datos!S18+Datos!AK18))/(Datos!S18+Datos!AK18))
     ),IF(D_I="SI",(Datos!I18-Datos!S18)/Datos!S18,(Datos!I18+Datos!AC18-(Datos!S18+Datos!AK18))/(Datos!S18+Datos!AK18))," - ")</f>
        <v>0.79432624113475181</v>
      </c>
      <c r="E18" s="394">
        <f>IF(ISNUMBER(
   IF(D_I="SI",(Datos!J18-Datos!T18)/Datos!T18,(Datos!J18+Datos!AD18-(Datos!T18+Datos!AL18))/(Datos!T18+Datos!AL18))
     ),IF(D_I="SI",(Datos!J18-Datos!T18)/Datos!T18,(Datos!J18+Datos!AD18-(Datos!T18+Datos!AL18))/(Datos!T18+Datos!AL18))," - ")</f>
        <v>4.1749502982107355E-2</v>
      </c>
      <c r="F18" s="394">
        <f>IF(ISNUMBER(
   IF(D_I="SI",(Datos!K18-Datos!U18)/Datos!U18,(Datos!K18+Datos!AE18-(Datos!U18+Datos!AM18))/(Datos!U18+Datos!AM18))
     ),IF(D_I="SI",(Datos!K18-Datos!U18)/Datos!U18,(Datos!K18+Datos!AE18-(Datos!U18+Datos!AM18))/(Datos!U18+Datos!AM18))," - ")</f>
        <v>-4.8223350253807105E-2</v>
      </c>
      <c r="G18" s="395">
        <f>IF(ISNUMBER(
   IF(D_I="SI",(Datos!L18-Datos!V18)/Datos!V18,(Datos!L18+Datos!AF18-(Datos!V18+Datos!AN18))/(Datos!V18+Datos!AN18))
     ),IF(D_I="SI",(Datos!L18-Datos!V18)/Datos!V18,(Datos!L18+Datos!AF18-(Datos!V18+Datos!AN18))/(Datos!V18+Datos!AN18))," - ")</f>
        <v>1.1857707509881422E-2</v>
      </c>
      <c r="H18" s="244">
        <f>IF(ISNUMBER((Datos!M18-Datos!W18)/Datos!W18),(Datos!M18-Datos!W18)/Datos!W18," - ")</f>
        <v>-8.3333333333333329E-2</v>
      </c>
      <c r="I18" s="396">
        <f>IF(ISNUMBER((Tasas!C18-Datos!BE18)/Datos!BE18),(Tasas!C18-Datos!BE18)/Datos!BE18," - ")</f>
        <v>6.3125164690382082E-2</v>
      </c>
      <c r="J18" s="395">
        <f>IF(ISNUMBER((Tasas!D18-Datos!BF18)/Datos!BF18),(Tasas!D18-Datos!BF18)/Datos!BF18," - ")</f>
        <v>-3.6888888888888943E-2</v>
      </c>
      <c r="K18" s="397">
        <f>IF(ISNUMBER((Tasas!E18-Datos!BG18)/Datos!BG18),(Tasas!E18-Datos!BG18)/Datos!BG18," - ")</f>
        <v>0.26765217391304352</v>
      </c>
    </row>
    <row r="19" spans="2:20" ht="14.25">
      <c r="B19" s="300" t="s">
        <v>514</v>
      </c>
      <c r="C19" s="7" t="str">
        <f>Datos!A19</f>
        <v xml:space="preserve">Jdos. de Menores                                </v>
      </c>
      <c r="D19" s="398" t="str">
        <f>IF(ISNUMBER((Datos!I19-Datos!S19)/Datos!S19),(Datos!I19-Datos!S19)/Datos!S19," - ")</f>
        <v xml:space="preserve"> - </v>
      </c>
      <c r="E19" s="394" t="str">
        <f>IF(ISNUMBER((Datos!J19-Datos!T19)/Datos!T19),(Datos!J19-Datos!T19)/Datos!T19," - ")</f>
        <v xml:space="preserve"> - </v>
      </c>
      <c r="F19" s="394" t="str">
        <f>IF(ISNUMBER((Datos!K19-Datos!U19)/Datos!U19),(Datos!K19-Datos!U19)/Datos!U19," - ")</f>
        <v xml:space="preserve"> - </v>
      </c>
      <c r="G19" s="395" t="str">
        <f>IF(ISNUMBER((Datos!L19-Datos!V19)/Datos!V19),(Datos!L19-Datos!V19)/Datos!V19," - ")</f>
        <v xml:space="preserve"> - </v>
      </c>
      <c r="H19" s="244" t="str">
        <f>IF(ISNUMBER((Datos!M19-Datos!W19)/Datos!W19),(Datos!M19-Datos!W19)/Datos!W19," - ")</f>
        <v xml:space="preserve"> - </v>
      </c>
      <c r="I19" s="396" t="str">
        <f>IF(ISNUMBER((Tasas!C19-Datos!BE19)/Datos!BE19),(Tasas!C19-Datos!BE19)/Datos!BE19," - ")</f>
        <v xml:space="preserve"> - </v>
      </c>
      <c r="J19" s="395" t="str">
        <f>IF(ISNUMBER((Tasas!D19-Datos!BF19)/Datos!BF19),(Tasas!D19-Datos!BF19)/Datos!BF19," - ")</f>
        <v xml:space="preserve"> - </v>
      </c>
      <c r="K19" s="397" t="str">
        <f>IF(ISNUMBER((Tasas!E19-Datos!BG19)/Datos!BG19),(Tasas!E19-Datos!BG19)/Datos!BG19," - ")</f>
        <v xml:space="preserve"> - </v>
      </c>
    </row>
    <row r="20" spans="2:20" ht="14.25">
      <c r="B20" s="300" t="s">
        <v>514</v>
      </c>
      <c r="C20" s="7" t="str">
        <f>Datos!A20</f>
        <v xml:space="preserve">Jdos. Vigilancia Penitenciaria                  </v>
      </c>
      <c r="D20" s="398" t="str">
        <f>IF(ISNUMBER((Datos!I20-Datos!S20)/Datos!S20),(Datos!I20-Datos!S20)/Datos!S20," - ")</f>
        <v xml:space="preserve"> - </v>
      </c>
      <c r="E20" s="394" t="str">
        <f>IF(ISNUMBER((Datos!J20-Datos!T20)/Datos!T20),(Datos!J20-Datos!T20)/Datos!T20," - ")</f>
        <v xml:space="preserve"> - </v>
      </c>
      <c r="F20" s="394" t="str">
        <f>IF(ISNUMBER((Datos!K20-Datos!U20)/Datos!U20),(Datos!K20-Datos!U20)/Datos!U20," - ")</f>
        <v xml:space="preserve"> - </v>
      </c>
      <c r="G20" s="395" t="str">
        <f>IF(ISNUMBER((Datos!L20-Datos!V20)/Datos!V20),(Datos!L20-Datos!V20)/Datos!V20," - ")</f>
        <v xml:space="preserve"> - </v>
      </c>
      <c r="H20" s="244" t="str">
        <f>IF(ISNUMBER((Datos!M20-Datos!W20)/Datos!W20),(Datos!M20-Datos!W20)/Datos!W20," - ")</f>
        <v xml:space="preserve"> - </v>
      </c>
      <c r="I20" s="396" t="str">
        <f>IF(ISNUMBER((Tasas!C20-Datos!BE20)/Datos!BE20),(Tasas!C20-Datos!BE20)/Datos!BE20," - ")</f>
        <v xml:space="preserve"> - </v>
      </c>
      <c r="J20" s="395" t="str">
        <f>IF(ISNUMBER((Tasas!D20-Datos!BF20)/Datos!BF20),(Tasas!D20-Datos!BF20)/Datos!BF20," - ")</f>
        <v xml:space="preserve"> - </v>
      </c>
      <c r="K20" s="397" t="str">
        <f>IF(ISNUMBER((Tasas!E20-Datos!BG20)/Datos!BG20),(Tasas!E20-Datos!BG20)/Datos!BG20," - ")</f>
        <v xml:space="preserve"> - </v>
      </c>
    </row>
    <row r="21" spans="2:20" ht="14.25">
      <c r="B21" s="300" t="s">
        <v>514</v>
      </c>
      <c r="C21" s="7" t="str">
        <f>Datos!A21</f>
        <v xml:space="preserve">Jdos. de lo Penal                               </v>
      </c>
      <c r="D21" s="398">
        <f>IF(ISNUMBER((Datos!I21-Datos!S21)/Datos!S21),(Datos!I21-Datos!S21)/Datos!S21," - ")</f>
        <v>0.16666666666666666</v>
      </c>
      <c r="E21" s="394">
        <f>IF(ISNUMBER((Datos!J21-Datos!T21)/Datos!T21),(Datos!J21-Datos!T21)/Datos!T21," - ")</f>
        <v>0.22365869424692955</v>
      </c>
      <c r="F21" s="394">
        <f>IF(ISNUMBER((Datos!K21-Datos!U21)/Datos!U21),(Datos!K21-Datos!U21)/Datos!U21," - ")</f>
        <v>0.4490842490842491</v>
      </c>
      <c r="G21" s="395">
        <f>IF(ISNUMBER((Datos!L21-Datos!V21)/Datos!V21),(Datos!L21-Datos!V21)/Datos!V21," - ")</f>
        <v>-3.5299003322259138E-2</v>
      </c>
      <c r="H21" s="244">
        <f>IF(ISNUMBER((Datos!M21-Datos!W21)/Datos!W21),(Datos!M21-Datos!W21)/Datos!W21," - ")</f>
        <v>0.43607843137254904</v>
      </c>
      <c r="I21" s="396">
        <f>IF(ISNUMBER((Tasas!C21-Datos!BE21)/Datos!BE21),(Tasas!C21-Datos!BE21)/Datos!BE21," - ")</f>
        <v>-0.33426852352623032</v>
      </c>
      <c r="J21" s="395">
        <f>IF(ISNUMBER((Tasas!D21-Datos!BF21)/Datos!BF21),(Tasas!D21-Datos!BF21)/Datos!BF21," - ")</f>
        <v>-8.9751977636352512E-3</v>
      </c>
      <c r="K21" s="397">
        <f>IF(ISNUMBER((Tasas!E21-Datos!BG21)/Datos!BG21),(Tasas!E21-Datos!BG21)/Datos!BG21," - ")</f>
        <v>-0.17804447650267596</v>
      </c>
    </row>
    <row r="22" spans="2:20" ht="15" thickBot="1">
      <c r="B22" s="300" t="s">
        <v>514</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0.25727411944869832</v>
      </c>
      <c r="E23" s="400">
        <f>IF(ISNUMBER(
   IF(D_I="SI",(Datos!J23-Datos!T23)/Datos!T23,(Datos!J23+Datos!AD23-(Datos!T23+Datos!AL23))/(Datos!T23+Datos!AL23))
     ),IF(D_I="SI",(Datos!J23-Datos!T23)/Datos!T23,(Datos!J23+Datos!AD23-(Datos!T23+Datos!AL23))/(Datos!T23+Datos!AL23))," - ")</f>
        <v>6.3109185783203708E-2</v>
      </c>
      <c r="F23" s="400">
        <f>IF(ISNUMBER(
   IF(D_I="SI",(Datos!K23-Datos!U23)/Datos!U23,(Datos!K23+Datos!AE23-(Datos!U23+Datos!AM23))/(Datos!U23+Datos!AM23))
     ),IF(D_I="SI",(Datos!K23-Datos!U23)/Datos!U23,(Datos!K23+Datos!AE23-(Datos!U23+Datos!AM23))/(Datos!U23+Datos!AM23))," - ")</f>
        <v>6.4971751412429377E-2</v>
      </c>
      <c r="G23" s="401">
        <f>IF(ISNUMBER(
   IF(D_I="SI",(Datos!L23-Datos!V23)/Datos!V23,(Datos!L23+Datos!AF23-(Datos!V23+Datos!AN23))/(Datos!V23+Datos!AN23))
     ),IF(D_I="SI",(Datos!L23-Datos!V23)/Datos!V23,(Datos!L23+Datos!AF23-(Datos!V23+Datos!AN23))/(Datos!V23+Datos!AN23))," - ")</f>
        <v>8.1955803027666613E-2</v>
      </c>
      <c r="H23" s="402">
        <f>IF(ISNUMBER((Datos!M23-Datos!W23)/Datos!W23),(Datos!M23-Datos!W23)/Datos!W23," - ")</f>
        <v>0.38722168441432719</v>
      </c>
      <c r="I23" s="403">
        <f>IF(ISNUMBER((Tasas!C23-Datos!BE23)/Datos!BE23),(Tasas!C23-Datos!BE23)/Datos!BE23," - ")</f>
        <v>1.5947889315103461E-2</v>
      </c>
      <c r="J23" s="401">
        <f>IF(ISNUMBER((Tasas!D23-Datos!BF23)/Datos!BF23),(Tasas!D23-Datos!BF23)/Datos!BF23," - ")</f>
        <v>0.30259012276570779</v>
      </c>
      <c r="K23" s="404">
        <f>IF(ISNUMBER((Tasas!E23-Datos!BG23)/Datos!BG23),(Tasas!E23-Datos!BG23)/Datos!BG23," - ")</f>
        <v>5.4835914053168622E-2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515</v>
      </c>
      <c r="C25" s="7" t="str">
        <f>Datos!A25</f>
        <v xml:space="preserve">Jdos Cont.-Admvo.                               </v>
      </c>
      <c r="D25" s="398" t="str">
        <f>IF(ISNUMBER((Datos!I25-Datos!S25)/Datos!S25),(Datos!I25-Datos!S25)/Datos!S25," - ")</f>
        <v xml:space="preserve"> - </v>
      </c>
      <c r="E25" s="394" t="str">
        <f>IF(ISNUMBER((Datos!J25-Datos!T25)/Datos!T25),(Datos!J25-Datos!T25)/Datos!T25," - ")</f>
        <v xml:space="preserve"> - </v>
      </c>
      <c r="F25" s="394" t="str">
        <f>IF(ISNUMBER((Datos!K25-Datos!U25)/Datos!U25),(Datos!K25-Datos!U25)/Datos!U25," - ")</f>
        <v xml:space="preserve"> - </v>
      </c>
      <c r="G25" s="395" t="str">
        <f>IF(ISNUMBER((Datos!L25-Datos!V25)/Datos!V25),(Datos!L25-Datos!V25)/Datos!V25," - ")</f>
        <v xml:space="preserve"> - </v>
      </c>
      <c r="H25" s="244" t="str">
        <f>IF(ISNUMBER((Datos!M25-Datos!W25)/Datos!W25),(Datos!M25-Datos!W25)/Datos!W25," - ")</f>
        <v xml:space="preserve"> - </v>
      </c>
      <c r="I25" s="396" t="str">
        <f>IF(ISNUMBER((Tasas!C25-Datos!BE25)/Datos!BE25),(Tasas!C25-Datos!BE25)/Datos!BE25," - ")</f>
        <v xml:space="preserve"> - </v>
      </c>
      <c r="J25" s="395" t="str">
        <f>IF(ISNUMBER((Tasas!D25-Datos!BF25)/Datos!BF25),(Tasas!D25-Datos!BF25)/Datos!BF25," - ")</f>
        <v xml:space="preserve"> - </v>
      </c>
      <c r="K25" s="397" t="str">
        <f>IF(ISNUMBER((Tasas!E25-Datos!BG25)/Datos!BG25),(Tasas!E25-Datos!BG25)/Datos!BG25," - ")</f>
        <v xml:space="preserve"> - </v>
      </c>
    </row>
    <row r="26" spans="2:20" ht="16.5" hidden="1" thickTop="1" thickBot="1">
      <c r="B26" s="191"/>
      <c r="C26" s="75" t="str">
        <f>Datos!A26</f>
        <v>TOTAL</v>
      </c>
      <c r="D26" s="399" t="str">
        <f>IF(ISNUMBER((Datos!I26-Datos!S26)/Datos!S26),(Datos!I26-Datos!S26)/Datos!S26," - ")</f>
        <v xml:space="preserve"> - </v>
      </c>
      <c r="E26" s="400" t="str">
        <f>IF(ISNUMBER((Datos!J26-Datos!T26)/Datos!T26),(Datos!J26-Datos!T26)/Datos!T26," - ")</f>
        <v xml:space="preserve"> - </v>
      </c>
      <c r="F26" s="400" t="str">
        <f>IF(ISNUMBER((Datos!K26-Datos!U26)/Datos!U26),(Datos!K26-Datos!U26)/Datos!U26," - ")</f>
        <v xml:space="preserve"> - </v>
      </c>
      <c r="G26" s="401" t="str">
        <f>IF(ISNUMBER((Datos!L26-Datos!V26)/Datos!V26),(Datos!L26-Datos!V26)/Datos!V26," - ")</f>
        <v xml:space="preserve"> - </v>
      </c>
      <c r="H26" s="402" t="str">
        <f>IF(ISNUMBER((Datos!M26-Datos!W26)/Datos!W26),(Datos!M26-Datos!W26)/Datos!W26," - ")</f>
        <v xml:space="preserve"> - </v>
      </c>
      <c r="I26" s="403" t="str">
        <f>IF(ISNUMBER((Tasas!C26-Datos!BE26)/Datos!BE26),(Tasas!C26-Datos!BE26)/Datos!BE26," - ")</f>
        <v xml:space="preserve"> - </v>
      </c>
      <c r="J26" s="401" t="str">
        <f>IF(ISNUMBER((Tasas!D26-Datos!BF26)/Datos!BF26),(Tasas!D26-Datos!BF26)/Datos!BF26," - ")</f>
        <v xml:space="preserve"> - </v>
      </c>
      <c r="K26" s="404"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516</v>
      </c>
      <c r="C28" s="7" t="str">
        <f>Datos!A28</f>
        <v xml:space="preserve">Jdos. de lo Social                              </v>
      </c>
      <c r="D28" s="398" t="str">
        <f>IF(ISNUMBER((Datos!I28-Datos!S28)/Datos!S28),(Datos!I28-Datos!S28)/Datos!S28," - ")</f>
        <v xml:space="preserve"> - </v>
      </c>
      <c r="E28" s="394" t="str">
        <f>IF(ISNUMBER((Datos!J28-Datos!T28)/Datos!T28),(Datos!J28-Datos!T28)/Datos!T28," - ")</f>
        <v xml:space="preserve"> - </v>
      </c>
      <c r="F28" s="394" t="str">
        <f>IF(ISNUMBER((Datos!K28-Datos!U28)/Datos!U28),(Datos!K28-Datos!U28)/Datos!U28," - ")</f>
        <v xml:space="preserve"> - </v>
      </c>
      <c r="G28" s="395" t="str">
        <f>IF(ISNUMBER((Datos!L28-Datos!V28)/Datos!V28),(Datos!L28-Datos!V28)/Datos!V28," - ")</f>
        <v xml:space="preserve"> - </v>
      </c>
      <c r="H28" s="244" t="str">
        <f>IF(ISNUMBER((Datos!M28-Datos!W28)/Datos!W28),(Datos!M28-Datos!W28)/Datos!W28," - ")</f>
        <v xml:space="preserve"> - </v>
      </c>
      <c r="I28" s="396" t="str">
        <f>IF(ISNUMBER((Tasas!C28-Datos!BE28)/Datos!BE28),(Tasas!C28-Datos!BE28)/Datos!BE28," - ")</f>
        <v xml:space="preserve"> - </v>
      </c>
      <c r="J28" s="395" t="str">
        <f>IF(ISNUMBER((Tasas!D28-Datos!BF28)/Datos!BF28),(Tasas!D28-Datos!BF28)/Datos!BF28," - ")</f>
        <v xml:space="preserve"> - </v>
      </c>
      <c r="K28" s="397"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516</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t="str">
        <f>IF(ISNUMBER((Datos!I30-Datos!S30)/Datos!S30),(Datos!I30-Datos!S30)/Datos!S30," - ")</f>
        <v xml:space="preserve"> - </v>
      </c>
      <c r="E30" s="1112" t="str">
        <f>IF(ISNUMBER((Datos!J30-Datos!T30)/Datos!T30),(Datos!J30-Datos!T30)/Datos!T30," - ")</f>
        <v xml:space="preserve"> - </v>
      </c>
      <c r="F30" s="1112" t="str">
        <f>IF(ISNUMBER((Datos!K30-Datos!U30)/Datos!U30),(Datos!K30-Datos!U30)/Datos!U30," - ")</f>
        <v xml:space="preserve"> - </v>
      </c>
      <c r="G30" s="1113" t="str">
        <f>IF(ISNUMBER((Datos!L30-Datos!V30)/Datos!V30),(Datos!L30-Datos!V30)/Datos!V30," - ")</f>
        <v xml:space="preserve"> - </v>
      </c>
      <c r="H30" s="1114" t="str">
        <f>IF(ISNUMBER((Datos!M30-Datos!W30)/Datos!W30),(Datos!M30-Datos!W30)/Datos!W30," - ")</f>
        <v xml:space="preserve"> - </v>
      </c>
      <c r="I30" s="1115" t="str">
        <f>IF(ISNUMBER((Tasas!C30-Datos!BE30)/Datos!BE30),(Tasas!C30-Datos!BE30)/Datos!BE30," - ")</f>
        <v xml:space="preserve"> - </v>
      </c>
      <c r="J30" s="1113" t="str">
        <f>IF(ISNUMBER((Tasas!D30-Datos!BF30)/Datos!BF30),(Tasas!D30-Datos!BF30)/Datos!BF30," - ")</f>
        <v xml:space="preserve"> - </v>
      </c>
      <c r="K30" s="1116"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0.33735325506937031</v>
      </c>
      <c r="E31" s="410">
        <f>IF(ISNUMBER(
   IF(J_V="SI",(Datos!J31-Datos!T31)/Datos!T31,(Datos!J31+Datos!Z31-(Datos!T31+Datos!AH31))/(Datos!T31+Datos!AH31))
     ),IF(J_V="SI",(Datos!J31-Datos!T31)/Datos!T31,(Datos!J31+Datos!Z31-(Datos!T31+Datos!AH31))/(Datos!T31+Datos!AH31))," - ")</f>
        <v>0.11760719566288812</v>
      </c>
      <c r="F31" s="410">
        <f>IF(ISNUMBER(
   IF(J_V="SI",(Datos!K31-Datos!U31)/Datos!U31,(Datos!K31+Datos!AA31-(Datos!U31+Datos!AI31))/(Datos!U31+Datos!AI31))
     ),IF(J_V="SI",(Datos!K31-Datos!U31)/Datos!U31,(Datos!K31+Datos!AA31-(Datos!U31+Datos!AI31))/(Datos!U31+Datos!AI31))," - ")</f>
        <v>0.15030516949775719</v>
      </c>
      <c r="G31" s="411">
        <f>IF(ISNUMBER(
   IF(J_V="SI",(Datos!L31-Datos!V31)/Datos!V31,(Datos!L31+Datos!AB31-(Datos!V31+Datos!AJ31))/(Datos!V31+Datos!AJ31))
     ),IF(J_V="SI",(Datos!L31-Datos!V31)/Datos!V31,(Datos!L31+Datos!AB31-(Datos!V31+Datos!AJ31))/(Datos!V31+Datos!AJ31))," - ")</f>
        <v>0.15960418162955869</v>
      </c>
      <c r="H31" s="412">
        <f>IF(ISNUMBER((Datos!M31-Datos!W31)/Datos!W31),(Datos!M31-Datos!W31)/Datos!W31," - ")</f>
        <v>0.35058011915961118</v>
      </c>
      <c r="I31" s="409">
        <f>IF(ISNUMBER((Tasas!C31-Datos!BE31)/Datos!BE31),(Tasas!C31-Datos!BE31)/Datos!BE31," - ")</f>
        <v>8.0839523096828871E-3</v>
      </c>
      <c r="J31" s="410">
        <f>IF(ISNUMBER((Tasas!D31-Datos!BF31)/Datos!BF31),(Tasas!D31-Datos!BF31)/Datos!BF31," - ")</f>
        <v>5.4710931316981883E-2</v>
      </c>
      <c r="K31" s="411">
        <f>IF(ISNUMBER((Tasas!E31-Datos!BG31)/Datos!BG31),(Tasas!E31-Datos!BG31)/Datos!BG31," - ")</f>
        <v>4.1490063301775286E-2</v>
      </c>
    </row>
    <row r="32" spans="2:20" ht="15.75" customHeight="1" thickTop="1" thickBot="1">
      <c r="B32" s="180"/>
      <c r="C32" s="1105" t="s">
        <v>343</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344</v>
      </c>
      <c r="D33" s="302">
        <f t="shared" ref="D33:K33" si="1">IF(ISNUMBER( STDEV(D8:D30)),STDEV(D8:D30)," - ")</f>
        <v>0.31028861214906939</v>
      </c>
      <c r="E33" s="303">
        <f t="shared" si="1"/>
        <v>0.12311676215548802</v>
      </c>
      <c r="F33" s="303">
        <f t="shared" si="1"/>
        <v>0.47474173127149705</v>
      </c>
      <c r="G33" s="304">
        <f t="shared" si="1"/>
        <v>0.19671818013689618</v>
      </c>
      <c r="H33" s="310">
        <f t="shared" si="1"/>
        <v>3.3043163115839511</v>
      </c>
      <c r="I33" s="302">
        <f t="shared" si="1"/>
        <v>0.1866508147829751</v>
      </c>
      <c r="J33" s="303">
        <f t="shared" si="1"/>
        <v>1.4540005289647462</v>
      </c>
      <c r="K33" s="304">
        <f t="shared" si="1"/>
        <v>0.17431620142732288</v>
      </c>
    </row>
    <row r="34" spans="2:13" ht="13.5" thickTop="1">
      <c r="C34" s="1665"/>
      <c r="D34" s="1665"/>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341</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342</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abr. 2022</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8zFATw71VzFT6Wv6mVIhDUWAMhfmOKoXHDGStazeQStHzW3WfMJxIsW6lNLvlywBA656EPVyoB1/GZQ/mOj7gw==" saltValue="EM3hHF4QtWvxefhAwqTOM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2022-04-05T10:38:59Z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